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FERC-REG\FERC\FERC Contract &amp; Cost Analysis\2016 FERC Rate Case (Formula 4th True Up) TO10\6-June 15-Draft Informational Filing\Workpapers\"/>
    </mc:Choice>
  </mc:AlternateContent>
  <bookViews>
    <workbookView xWindow="-60" yWindow="195" windowWidth="13560" windowHeight="10950"/>
  </bookViews>
  <sheets>
    <sheet name="One Time Adj Explanation" sheetId="100" r:id="rId1"/>
    <sheet name="WP-Total Adj with Int" sheetId="86" r:id="rId2"/>
    <sheet name="WP-2012 True Up TRR Adj" sheetId="85" r:id="rId3"/>
    <sheet name="WP-2012 Sch 4-TUTRR" sheetId="88" r:id="rId4"/>
    <sheet name="WP-2012 Sch 9-ADIT" sheetId="89" r:id="rId5"/>
    <sheet name="WP-2012 Sch 10-CWIP" sheetId="90" r:id="rId6"/>
    <sheet name="WP-2012 Sch 16-PlantAdditions" sheetId="101" r:id="rId7"/>
    <sheet name="WP-2013 True Up TRR Adj" sheetId="84" r:id="rId8"/>
    <sheet name="WP-2013 Sch 4-TUTRR" sheetId="92" r:id="rId9"/>
    <sheet name="WP-2013 Sch 6-PlantInService" sheetId="93" r:id="rId10"/>
    <sheet name="WP-2013 Sch 8-AccDep" sheetId="94" r:id="rId11"/>
    <sheet name="WP-2013 Sch 9-ADIT" sheetId="95" r:id="rId12"/>
    <sheet name="WP-2013 Sch 10-CWIP" sheetId="96" r:id="rId13"/>
    <sheet name="WP-2013 Sch 14-IncentivePlant" sheetId="97" r:id="rId14"/>
    <sheet name="WP-2013 Sch 16-PlantAdditions" sheetId="98" r:id="rId15"/>
  </sheets>
  <definedNames>
    <definedName name="_xlnm.Print_Area" localSheetId="5">'WP-2012 Sch 10-CWIP'!$A$1:$K$412</definedName>
    <definedName name="_xlnm.Print_Area" localSheetId="6">'WP-2012 Sch 16-PlantAdditions'!$A$1:$P$137</definedName>
    <definedName name="_xlnm.Print_Area" localSheetId="3">'WP-2012 Sch 4-TUTRR'!$A$1:$J$108</definedName>
    <definedName name="_xlnm.Print_Area" localSheetId="4">'WP-2012 Sch 9-ADIT'!$A$1:$J$198</definedName>
    <definedName name="_xlnm.Print_Area" localSheetId="2">'WP-2012 True Up TRR Adj'!$A$2:$G$14</definedName>
    <definedName name="_xlnm.Print_Area" localSheetId="12">'WP-2013 Sch 10-CWIP'!$A$1:$K$412</definedName>
    <definedName name="_xlnm.Print_Area" localSheetId="13">'WP-2013 Sch 14-IncentivePlant'!$A$1:$J$372</definedName>
    <definedName name="_xlnm.Print_Area" localSheetId="14">'WP-2013 Sch 16-PlantAdditions'!$A$1:$P$137</definedName>
    <definedName name="_xlnm.Print_Area" localSheetId="8">'WP-2013 Sch 4-TUTRR'!$A$1:$J$109</definedName>
    <definedName name="_xlnm.Print_Area" localSheetId="9">'WP-2013 Sch 6-PlantInService'!$A$1:$M$181</definedName>
    <definedName name="_xlnm.Print_Area" localSheetId="10">'WP-2013 Sch 8-AccDep'!$A$1:$N$179</definedName>
    <definedName name="_xlnm.Print_Area" localSheetId="11">'WP-2013 Sch 9-ADIT'!$A$1:$J$205</definedName>
    <definedName name="_xlnm.Print_Area" localSheetId="7">'WP-2013 True Up TRR Adj'!$A$2:$H$15</definedName>
  </definedNames>
  <calcPr calcId="152511" calcMode="manual"/>
</workbook>
</file>

<file path=xl/calcChain.xml><?xml version="1.0" encoding="utf-8"?>
<calcChain xmlns="http://schemas.openxmlformats.org/spreadsheetml/2006/main">
  <c r="C131" i="101" l="1"/>
  <c r="E128" i="101"/>
  <c r="E126" i="101"/>
  <c r="E125" i="101"/>
  <c r="E124" i="101"/>
  <c r="E123" i="101"/>
  <c r="E121" i="101"/>
  <c r="E120" i="101"/>
  <c r="E119" i="101"/>
  <c r="C117" i="101"/>
  <c r="P99" i="101"/>
  <c r="I99" i="101"/>
  <c r="G99" i="101"/>
  <c r="H99" i="101" s="1"/>
  <c r="C99" i="101"/>
  <c r="P98" i="101"/>
  <c r="H98" i="101"/>
  <c r="G98" i="101"/>
  <c r="C98" i="101"/>
  <c r="P97" i="101"/>
  <c r="I97" i="101"/>
  <c r="G97" i="101"/>
  <c r="H97" i="101" s="1"/>
  <c r="C97" i="101"/>
  <c r="P96" i="101"/>
  <c r="H96" i="101"/>
  <c r="H33" i="101" s="1"/>
  <c r="G96" i="101"/>
  <c r="C96" i="101"/>
  <c r="P95" i="101"/>
  <c r="I95" i="101"/>
  <c r="G95" i="101"/>
  <c r="H95" i="101" s="1"/>
  <c r="C95" i="101"/>
  <c r="P94" i="101"/>
  <c r="H94" i="101"/>
  <c r="G94" i="101"/>
  <c r="C94" i="101"/>
  <c r="P93" i="101"/>
  <c r="I93" i="101"/>
  <c r="G93" i="101"/>
  <c r="H93" i="101" s="1"/>
  <c r="C93" i="101"/>
  <c r="P92" i="101"/>
  <c r="H92" i="101"/>
  <c r="H29" i="101" s="1"/>
  <c r="G92" i="101"/>
  <c r="C92" i="101"/>
  <c r="P91" i="101"/>
  <c r="I91" i="101"/>
  <c r="G91" i="101"/>
  <c r="H91" i="101" s="1"/>
  <c r="C91" i="101"/>
  <c r="P90" i="101"/>
  <c r="H90" i="101"/>
  <c r="G90" i="101"/>
  <c r="C90" i="101"/>
  <c r="P89" i="101"/>
  <c r="I89" i="101"/>
  <c r="G89" i="101"/>
  <c r="H89" i="101" s="1"/>
  <c r="C89" i="101"/>
  <c r="P88" i="101"/>
  <c r="H88" i="101"/>
  <c r="G88" i="101"/>
  <c r="C88" i="101"/>
  <c r="P87" i="101"/>
  <c r="I87" i="101"/>
  <c r="G87" i="101"/>
  <c r="H87" i="101" s="1"/>
  <c r="C87" i="101"/>
  <c r="P86" i="101"/>
  <c r="H86" i="101"/>
  <c r="I86" i="101" s="1"/>
  <c r="J86" i="101" s="1"/>
  <c r="J23" i="101" s="1"/>
  <c r="G86" i="101"/>
  <c r="C86" i="101"/>
  <c r="P85" i="101"/>
  <c r="I85" i="101"/>
  <c r="J85" i="101" s="1"/>
  <c r="G85" i="101"/>
  <c r="H85" i="101" s="1"/>
  <c r="C85" i="101"/>
  <c r="P84" i="101"/>
  <c r="H84" i="101"/>
  <c r="H21" i="101" s="1"/>
  <c r="G84" i="101"/>
  <c r="C84" i="101"/>
  <c r="P83" i="101"/>
  <c r="I83" i="101"/>
  <c r="J83" i="101" s="1"/>
  <c r="G83" i="101"/>
  <c r="H83" i="101" s="1"/>
  <c r="C83" i="101"/>
  <c r="P82" i="101"/>
  <c r="J82" i="101"/>
  <c r="J19" i="101" s="1"/>
  <c r="H82" i="101"/>
  <c r="I82" i="101" s="1"/>
  <c r="G82" i="101"/>
  <c r="C82" i="101"/>
  <c r="P81" i="101"/>
  <c r="I81" i="101"/>
  <c r="J81" i="101" s="1"/>
  <c r="G81" i="101"/>
  <c r="H81" i="101" s="1"/>
  <c r="C81" i="101"/>
  <c r="P80" i="101"/>
  <c r="H80" i="101"/>
  <c r="G80" i="101"/>
  <c r="C80" i="101"/>
  <c r="P79" i="101"/>
  <c r="I79" i="101"/>
  <c r="J79" i="101" s="1"/>
  <c r="G79" i="101"/>
  <c r="H79" i="101" s="1"/>
  <c r="C79" i="101"/>
  <c r="P78" i="101"/>
  <c r="J78" i="101"/>
  <c r="J15" i="101" s="1"/>
  <c r="H78" i="101"/>
  <c r="I78" i="101" s="1"/>
  <c r="G78" i="101"/>
  <c r="C78" i="101"/>
  <c r="P77" i="101"/>
  <c r="I77" i="101"/>
  <c r="J77" i="101" s="1"/>
  <c r="G77" i="101"/>
  <c r="H77" i="101" s="1"/>
  <c r="C77" i="101"/>
  <c r="P76" i="101"/>
  <c r="M76" i="101"/>
  <c r="I76" i="101"/>
  <c r="J76" i="101" s="1"/>
  <c r="J13" i="101" s="1"/>
  <c r="G76" i="101"/>
  <c r="H76" i="101" s="1"/>
  <c r="C76" i="101"/>
  <c r="P75" i="101"/>
  <c r="O75" i="101"/>
  <c r="N75" i="101"/>
  <c r="M75" i="101"/>
  <c r="L75" i="101"/>
  <c r="K75" i="101"/>
  <c r="J75" i="101"/>
  <c r="I75" i="101"/>
  <c r="H75" i="101"/>
  <c r="G75" i="101"/>
  <c r="F75" i="101"/>
  <c r="E75" i="101"/>
  <c r="D75" i="101"/>
  <c r="C75" i="101"/>
  <c r="P74" i="101"/>
  <c r="O74" i="101"/>
  <c r="M74" i="101"/>
  <c r="L74" i="101"/>
  <c r="K74" i="101"/>
  <c r="I74" i="101"/>
  <c r="H74" i="101"/>
  <c r="G74" i="101"/>
  <c r="F74" i="101"/>
  <c r="E74" i="101"/>
  <c r="C74" i="101"/>
  <c r="P73" i="101"/>
  <c r="O73" i="101"/>
  <c r="I73" i="101"/>
  <c r="E73" i="101"/>
  <c r="C73" i="101"/>
  <c r="N72" i="101"/>
  <c r="I72" i="101"/>
  <c r="P68" i="101"/>
  <c r="G36" i="101"/>
  <c r="F36" i="101"/>
  <c r="P67" i="101"/>
  <c r="F35" i="101"/>
  <c r="P66" i="101"/>
  <c r="G34" i="101"/>
  <c r="F34" i="101"/>
  <c r="P65" i="101"/>
  <c r="P33" i="101" s="1"/>
  <c r="P64" i="101"/>
  <c r="E32" i="101"/>
  <c r="P63" i="101"/>
  <c r="G31" i="101"/>
  <c r="F31" i="101"/>
  <c r="E31" i="101"/>
  <c r="P62" i="101"/>
  <c r="P61" i="101"/>
  <c r="G29" i="101"/>
  <c r="F29" i="101"/>
  <c r="P60" i="101"/>
  <c r="G28" i="101"/>
  <c r="F28" i="101"/>
  <c r="P59" i="101"/>
  <c r="G27" i="101"/>
  <c r="F27" i="101"/>
  <c r="P58" i="101"/>
  <c r="P26" i="101" s="1"/>
  <c r="G26" i="101"/>
  <c r="F26" i="101"/>
  <c r="P57" i="101"/>
  <c r="G25" i="101"/>
  <c r="F25" i="101"/>
  <c r="P56" i="101"/>
  <c r="G24" i="101"/>
  <c r="F24" i="101"/>
  <c r="E24" i="101"/>
  <c r="P55" i="101"/>
  <c r="G23" i="101"/>
  <c r="F23" i="101"/>
  <c r="P54" i="101"/>
  <c r="P53" i="101"/>
  <c r="G21" i="101"/>
  <c r="F21" i="101"/>
  <c r="P52" i="101"/>
  <c r="F20" i="101"/>
  <c r="P51" i="101"/>
  <c r="G19" i="101"/>
  <c r="F19" i="101"/>
  <c r="P50" i="101"/>
  <c r="G18" i="101"/>
  <c r="F18" i="101"/>
  <c r="P49" i="101"/>
  <c r="P17" i="101" s="1"/>
  <c r="G17" i="101"/>
  <c r="F17" i="101"/>
  <c r="P48" i="101"/>
  <c r="P47" i="101"/>
  <c r="G15" i="101"/>
  <c r="F15" i="101"/>
  <c r="P46" i="101"/>
  <c r="G14" i="101"/>
  <c r="F14" i="101"/>
  <c r="P45" i="101"/>
  <c r="M45" i="101"/>
  <c r="F13" i="101"/>
  <c r="K45" i="101"/>
  <c r="N45" i="101" s="1"/>
  <c r="P44" i="101"/>
  <c r="O44" i="101"/>
  <c r="N44" i="101"/>
  <c r="M44" i="101"/>
  <c r="L44" i="101"/>
  <c r="K44" i="101"/>
  <c r="J44" i="101"/>
  <c r="I44" i="101"/>
  <c r="H44" i="101"/>
  <c r="G44" i="101"/>
  <c r="F44" i="101"/>
  <c r="E44" i="101"/>
  <c r="D44" i="101"/>
  <c r="C44" i="101"/>
  <c r="P43" i="101"/>
  <c r="O43" i="101"/>
  <c r="L43" i="101"/>
  <c r="K43" i="101"/>
  <c r="I43" i="101"/>
  <c r="H43" i="101"/>
  <c r="G43" i="101"/>
  <c r="F43" i="101"/>
  <c r="E43" i="101"/>
  <c r="C43" i="101"/>
  <c r="P42" i="101"/>
  <c r="O42" i="101"/>
  <c r="I42" i="101"/>
  <c r="E42" i="101"/>
  <c r="C42" i="101"/>
  <c r="P36" i="101"/>
  <c r="O36" i="101"/>
  <c r="H36" i="101"/>
  <c r="E36" i="101"/>
  <c r="D36" i="101"/>
  <c r="C36" i="101"/>
  <c r="P35" i="101"/>
  <c r="O35" i="101"/>
  <c r="G35" i="101"/>
  <c r="E35" i="101"/>
  <c r="D35" i="101"/>
  <c r="C35" i="101"/>
  <c r="P34" i="101"/>
  <c r="O34" i="101"/>
  <c r="H34" i="101"/>
  <c r="E34" i="101"/>
  <c r="D34" i="101"/>
  <c r="C34" i="101"/>
  <c r="O33" i="101"/>
  <c r="G33" i="101"/>
  <c r="F33" i="101"/>
  <c r="E33" i="101"/>
  <c r="D33" i="101"/>
  <c r="C33" i="101"/>
  <c r="P32" i="101"/>
  <c r="O32" i="101"/>
  <c r="H32" i="101"/>
  <c r="G32" i="101"/>
  <c r="F32" i="101"/>
  <c r="D32" i="101"/>
  <c r="C32" i="101"/>
  <c r="P31" i="101"/>
  <c r="O31" i="101"/>
  <c r="D31" i="101"/>
  <c r="C31" i="101"/>
  <c r="P30" i="101"/>
  <c r="O30" i="101"/>
  <c r="H30" i="101"/>
  <c r="G30" i="101"/>
  <c r="F30" i="101"/>
  <c r="E30" i="101"/>
  <c r="D30" i="101"/>
  <c r="C30" i="101"/>
  <c r="P29" i="101"/>
  <c r="O29" i="101"/>
  <c r="E29" i="101"/>
  <c r="D29" i="101"/>
  <c r="C29" i="101"/>
  <c r="P28" i="101"/>
  <c r="O28" i="101"/>
  <c r="H28" i="101"/>
  <c r="E28" i="101"/>
  <c r="D28" i="101"/>
  <c r="C28" i="101"/>
  <c r="P27" i="101"/>
  <c r="O27" i="101"/>
  <c r="E27" i="101"/>
  <c r="D27" i="101"/>
  <c r="C27" i="101"/>
  <c r="O26" i="101"/>
  <c r="H26" i="101"/>
  <c r="E26" i="101"/>
  <c r="D26" i="101"/>
  <c r="C26" i="101"/>
  <c r="P25" i="101"/>
  <c r="O25" i="101"/>
  <c r="H25" i="101"/>
  <c r="E25" i="101"/>
  <c r="D25" i="101"/>
  <c r="C25" i="101"/>
  <c r="P24" i="101"/>
  <c r="O24" i="101"/>
  <c r="H24" i="101"/>
  <c r="D24" i="101"/>
  <c r="C24" i="101"/>
  <c r="P23" i="101"/>
  <c r="O23" i="101"/>
  <c r="I23" i="101"/>
  <c r="E23" i="101"/>
  <c r="D23" i="101"/>
  <c r="C23" i="101"/>
  <c r="P22" i="101"/>
  <c r="O22" i="101"/>
  <c r="J22" i="101"/>
  <c r="I22" i="101"/>
  <c r="H22" i="101"/>
  <c r="G22" i="101"/>
  <c r="F22" i="101"/>
  <c r="E22" i="101"/>
  <c r="D22" i="101"/>
  <c r="C22" i="101"/>
  <c r="P21" i="101"/>
  <c r="O21" i="101"/>
  <c r="E21" i="101"/>
  <c r="D21" i="101"/>
  <c r="C21" i="101"/>
  <c r="P20" i="101"/>
  <c r="O20" i="101"/>
  <c r="J20" i="101"/>
  <c r="I20" i="101"/>
  <c r="H20" i="101"/>
  <c r="G20" i="101"/>
  <c r="E20" i="101"/>
  <c r="D20" i="101"/>
  <c r="C20" i="101"/>
  <c r="P19" i="101"/>
  <c r="O19" i="101"/>
  <c r="I19" i="101"/>
  <c r="H19" i="101"/>
  <c r="E19" i="101"/>
  <c r="D19" i="101"/>
  <c r="C19" i="101"/>
  <c r="P18" i="101"/>
  <c r="O18" i="101"/>
  <c r="J18" i="101"/>
  <c r="H18" i="101"/>
  <c r="E18" i="101"/>
  <c r="D18" i="101"/>
  <c r="C18" i="101"/>
  <c r="O17" i="101"/>
  <c r="H17" i="101"/>
  <c r="E17" i="101"/>
  <c r="D17" i="101"/>
  <c r="C17" i="101"/>
  <c r="P16" i="101"/>
  <c r="O16" i="101"/>
  <c r="J16" i="101"/>
  <c r="I16" i="101"/>
  <c r="H16" i="101"/>
  <c r="G16" i="101"/>
  <c r="F16" i="101"/>
  <c r="E16" i="101"/>
  <c r="D16" i="101"/>
  <c r="C16" i="101"/>
  <c r="A16" i="101"/>
  <c r="A17" i="101" s="1"/>
  <c r="A18" i="101" s="1"/>
  <c r="A19" i="101" s="1"/>
  <c r="A20" i="101" s="1"/>
  <c r="A21" i="101" s="1"/>
  <c r="A22" i="101" s="1"/>
  <c r="A23" i="101" s="1"/>
  <c r="A24" i="101" s="1"/>
  <c r="A25" i="101" s="1"/>
  <c r="A26" i="101" s="1"/>
  <c r="A27" i="101" s="1"/>
  <c r="A28" i="101" s="1"/>
  <c r="A29" i="101" s="1"/>
  <c r="A30" i="101" s="1"/>
  <c r="A31" i="101" s="1"/>
  <c r="A32" i="101" s="1"/>
  <c r="A33" i="101" s="1"/>
  <c r="A34" i="101" s="1"/>
  <c r="A35" i="101" s="1"/>
  <c r="A36" i="101" s="1"/>
  <c r="A37" i="101" s="1"/>
  <c r="A45" i="101" s="1"/>
  <c r="A46" i="101" s="1"/>
  <c r="A47" i="101" s="1"/>
  <c r="A48" i="101" s="1"/>
  <c r="A49" i="101" s="1"/>
  <c r="A50" i="101" s="1"/>
  <c r="A51" i="101" s="1"/>
  <c r="A52" i="101" s="1"/>
  <c r="A53" i="101" s="1"/>
  <c r="A54" i="101" s="1"/>
  <c r="A55" i="101" s="1"/>
  <c r="A56" i="101" s="1"/>
  <c r="A57" i="101" s="1"/>
  <c r="A58" i="101" s="1"/>
  <c r="A59" i="101" s="1"/>
  <c r="A60" i="101" s="1"/>
  <c r="A61" i="101" s="1"/>
  <c r="A62" i="101" s="1"/>
  <c r="A63" i="101" s="1"/>
  <c r="A64" i="101" s="1"/>
  <c r="A65" i="101" s="1"/>
  <c r="A66" i="101" s="1"/>
  <c r="A67" i="101" s="1"/>
  <c r="A68" i="101" s="1"/>
  <c r="A76" i="101" s="1"/>
  <c r="A77" i="101" s="1"/>
  <c r="A78" i="101" s="1"/>
  <c r="A79" i="101" s="1"/>
  <c r="A80" i="101" s="1"/>
  <c r="A81" i="101" s="1"/>
  <c r="A82" i="101" s="1"/>
  <c r="A83" i="101" s="1"/>
  <c r="A84" i="101" s="1"/>
  <c r="A85" i="101" s="1"/>
  <c r="A86" i="101" s="1"/>
  <c r="A87" i="101" s="1"/>
  <c r="A88" i="101" s="1"/>
  <c r="A89" i="101" s="1"/>
  <c r="A90" i="101" s="1"/>
  <c r="A91" i="101" s="1"/>
  <c r="A92" i="101" s="1"/>
  <c r="A93" i="101" s="1"/>
  <c r="A94" i="101" s="1"/>
  <c r="A95" i="101" s="1"/>
  <c r="A96" i="101" s="1"/>
  <c r="A97" i="101" s="1"/>
  <c r="A98" i="101" s="1"/>
  <c r="A99" i="101" s="1"/>
  <c r="A103" i="101" s="1"/>
  <c r="P15" i="101"/>
  <c r="O15" i="101"/>
  <c r="I15" i="101"/>
  <c r="H15" i="101"/>
  <c r="E15" i="101"/>
  <c r="D15" i="101"/>
  <c r="C15" i="101"/>
  <c r="P14" i="101"/>
  <c r="O14" i="101"/>
  <c r="J14" i="101"/>
  <c r="H14" i="101"/>
  <c r="E14" i="101"/>
  <c r="D14" i="101"/>
  <c r="C14" i="101"/>
  <c r="A14" i="101"/>
  <c r="A15" i="101" s="1"/>
  <c r="P13" i="101"/>
  <c r="O13" i="101"/>
  <c r="M13" i="101"/>
  <c r="L13" i="101"/>
  <c r="I13" i="101"/>
  <c r="H13" i="101"/>
  <c r="G13" i="101"/>
  <c r="D13" i="101"/>
  <c r="C13" i="101"/>
  <c r="E13" i="101" l="1"/>
  <c r="E122" i="101"/>
  <c r="E127" i="101"/>
  <c r="G72" i="101"/>
  <c r="A107" i="101"/>
  <c r="P37" i="101"/>
  <c r="I90" i="101"/>
  <c r="H27" i="101"/>
  <c r="I94" i="101"/>
  <c r="H31" i="101"/>
  <c r="I98" i="101"/>
  <c r="H35" i="101"/>
  <c r="E130" i="101"/>
  <c r="H23" i="101"/>
  <c r="J87" i="101"/>
  <c r="J24" i="101" s="1"/>
  <c r="I24" i="101"/>
  <c r="J91" i="101"/>
  <c r="J28" i="101" s="1"/>
  <c r="I28" i="101"/>
  <c r="J95" i="101"/>
  <c r="J32" i="101" s="1"/>
  <c r="I32" i="101"/>
  <c r="J99" i="101"/>
  <c r="J36" i="101" s="1"/>
  <c r="I36" i="101"/>
  <c r="K46" i="101"/>
  <c r="E131" i="101"/>
  <c r="I14" i="101"/>
  <c r="I18" i="101"/>
  <c r="K76" i="101"/>
  <c r="J89" i="101"/>
  <c r="J26" i="101" s="1"/>
  <c r="I26" i="101"/>
  <c r="J93" i="101"/>
  <c r="J30" i="101" s="1"/>
  <c r="I30" i="101"/>
  <c r="J97" i="101"/>
  <c r="J34" i="101" s="1"/>
  <c r="I34" i="101"/>
  <c r="I80" i="101"/>
  <c r="I84" i="101"/>
  <c r="I88" i="101"/>
  <c r="I92" i="101"/>
  <c r="I96" i="101"/>
  <c r="K37" i="86"/>
  <c r="J84" i="101" l="1"/>
  <c r="J21" i="101" s="1"/>
  <c r="I21" i="101"/>
  <c r="K77" i="101"/>
  <c r="L77" i="101"/>
  <c r="M77" i="101" s="1"/>
  <c r="N76" i="101"/>
  <c r="N13" i="101" s="1"/>
  <c r="K13" i="101"/>
  <c r="A111" i="101"/>
  <c r="H72" i="101"/>
  <c r="J96" i="101"/>
  <c r="J33" i="101" s="1"/>
  <c r="I33" i="101"/>
  <c r="J80" i="101"/>
  <c r="J17" i="101" s="1"/>
  <c r="I17" i="101"/>
  <c r="J92" i="101"/>
  <c r="J29" i="101" s="1"/>
  <c r="I29" i="101"/>
  <c r="J88" i="101"/>
  <c r="J25" i="101" s="1"/>
  <c r="I25" i="101"/>
  <c r="E133" i="101"/>
  <c r="L46" i="101" s="1"/>
  <c r="J94" i="101"/>
  <c r="J31" i="101" s="1"/>
  <c r="I31" i="101"/>
  <c r="K47" i="101"/>
  <c r="K14" i="101"/>
  <c r="L47" i="101"/>
  <c r="J98" i="101"/>
  <c r="J35" i="101" s="1"/>
  <c r="I35" i="101"/>
  <c r="J90" i="101"/>
  <c r="J27" i="101" s="1"/>
  <c r="I27" i="101"/>
  <c r="D6" i="84"/>
  <c r="D6" i="85"/>
  <c r="C131" i="98"/>
  <c r="E121" i="98"/>
  <c r="C117" i="98"/>
  <c r="P99" i="98"/>
  <c r="I99" i="98"/>
  <c r="H99" i="98"/>
  <c r="G99" i="98"/>
  <c r="C99" i="98"/>
  <c r="P98" i="98"/>
  <c r="H98" i="98"/>
  <c r="H35" i="98" s="1"/>
  <c r="G98" i="98"/>
  <c r="C98" i="98"/>
  <c r="P97" i="98"/>
  <c r="G97" i="98"/>
  <c r="C97" i="98"/>
  <c r="P96" i="98"/>
  <c r="G96" i="98"/>
  <c r="C96" i="98"/>
  <c r="P95" i="98"/>
  <c r="J95" i="98"/>
  <c r="I95" i="98"/>
  <c r="I32" i="98" s="1"/>
  <c r="H95" i="98"/>
  <c r="G95" i="98"/>
  <c r="C95" i="98"/>
  <c r="P94" i="98"/>
  <c r="G94" i="98"/>
  <c r="C94" i="98"/>
  <c r="P93" i="98"/>
  <c r="G93" i="98"/>
  <c r="C93" i="98"/>
  <c r="P92" i="98"/>
  <c r="I92" i="98"/>
  <c r="G92" i="98"/>
  <c r="H92" i="98" s="1"/>
  <c r="C92" i="98"/>
  <c r="P91" i="98"/>
  <c r="I91" i="98"/>
  <c r="H91" i="98"/>
  <c r="G91" i="98"/>
  <c r="C91" i="98"/>
  <c r="P90" i="98"/>
  <c r="G90" i="98"/>
  <c r="C90" i="98"/>
  <c r="P89" i="98"/>
  <c r="P26" i="98" s="1"/>
  <c r="H89" i="98"/>
  <c r="H26" i="98" s="1"/>
  <c r="G89" i="98"/>
  <c r="C89" i="98"/>
  <c r="P88" i="98"/>
  <c r="G88" i="98"/>
  <c r="C88" i="98"/>
  <c r="P87" i="98"/>
  <c r="J87" i="98"/>
  <c r="J24" i="98" s="1"/>
  <c r="I87" i="98"/>
  <c r="I24" i="98" s="1"/>
  <c r="H87" i="98"/>
  <c r="G87" i="98"/>
  <c r="C87" i="98"/>
  <c r="P86" i="98"/>
  <c r="H86" i="98"/>
  <c r="G86" i="98"/>
  <c r="C86" i="98"/>
  <c r="P85" i="98"/>
  <c r="G85" i="98"/>
  <c r="C85" i="98"/>
  <c r="P84" i="98"/>
  <c r="P21" i="98" s="1"/>
  <c r="G84" i="98"/>
  <c r="C84" i="98"/>
  <c r="P83" i="98"/>
  <c r="I83" i="98"/>
  <c r="H83" i="98"/>
  <c r="G83" i="98"/>
  <c r="C83" i="98"/>
  <c r="P82" i="98"/>
  <c r="G82" i="98"/>
  <c r="C82" i="98"/>
  <c r="P81" i="98"/>
  <c r="G81" i="98"/>
  <c r="C81" i="98"/>
  <c r="P80" i="98"/>
  <c r="G80" i="98"/>
  <c r="C80" i="98"/>
  <c r="P79" i="98"/>
  <c r="J79" i="98"/>
  <c r="J16" i="98" s="1"/>
  <c r="I79" i="98"/>
  <c r="I16" i="98" s="1"/>
  <c r="H79" i="98"/>
  <c r="G79" i="98"/>
  <c r="C79" i="98"/>
  <c r="P78" i="98"/>
  <c r="G78" i="98"/>
  <c r="C78" i="98"/>
  <c r="P77" i="98"/>
  <c r="G77" i="98"/>
  <c r="C77" i="98"/>
  <c r="P76" i="98"/>
  <c r="P13" i="98" s="1"/>
  <c r="M76" i="98"/>
  <c r="H76" i="98"/>
  <c r="G76" i="98"/>
  <c r="C76" i="98"/>
  <c r="P75" i="98"/>
  <c r="O75" i="98"/>
  <c r="N75" i="98"/>
  <c r="M75" i="98"/>
  <c r="L75" i="98"/>
  <c r="K75" i="98"/>
  <c r="J75" i="98"/>
  <c r="I75" i="98"/>
  <c r="H75" i="98"/>
  <c r="G75" i="98"/>
  <c r="F75" i="98"/>
  <c r="E75" i="98"/>
  <c r="D75" i="98"/>
  <c r="C75" i="98"/>
  <c r="P74" i="98"/>
  <c r="O74" i="98"/>
  <c r="M74" i="98"/>
  <c r="L74" i="98"/>
  <c r="K74" i="98"/>
  <c r="I74" i="98"/>
  <c r="H74" i="98"/>
  <c r="G74" i="98"/>
  <c r="F74" i="98"/>
  <c r="E74" i="98"/>
  <c r="C74" i="98"/>
  <c r="P73" i="98"/>
  <c r="O73" i="98"/>
  <c r="I73" i="98"/>
  <c r="E73" i="98"/>
  <c r="C73" i="98"/>
  <c r="N72" i="98"/>
  <c r="I72" i="98"/>
  <c r="P68" i="98"/>
  <c r="E36" i="98"/>
  <c r="P67" i="98"/>
  <c r="F35" i="98"/>
  <c r="E35" i="98"/>
  <c r="P66" i="98"/>
  <c r="F34" i="98"/>
  <c r="E34" i="98"/>
  <c r="P65" i="98"/>
  <c r="G33" i="98"/>
  <c r="F33" i="98"/>
  <c r="E33" i="98"/>
  <c r="P64" i="98"/>
  <c r="G32" i="98"/>
  <c r="F32" i="98"/>
  <c r="E32" i="98"/>
  <c r="P63" i="98"/>
  <c r="P31" i="98" s="1"/>
  <c r="F31" i="98"/>
  <c r="E31" i="98"/>
  <c r="P62" i="98"/>
  <c r="F30" i="98"/>
  <c r="E30" i="98"/>
  <c r="P61" i="98"/>
  <c r="G29" i="98"/>
  <c r="F29" i="98"/>
  <c r="E29" i="98"/>
  <c r="P60" i="98"/>
  <c r="G28" i="98"/>
  <c r="F28" i="98"/>
  <c r="E28" i="98"/>
  <c r="P59" i="98"/>
  <c r="F27" i="98"/>
  <c r="E27" i="98"/>
  <c r="P58" i="98"/>
  <c r="G26" i="98"/>
  <c r="F26" i="98"/>
  <c r="E26" i="98"/>
  <c r="P57" i="98"/>
  <c r="G25" i="98"/>
  <c r="F25" i="98"/>
  <c r="E25" i="98"/>
  <c r="P56" i="98"/>
  <c r="G24" i="98"/>
  <c r="F24" i="98"/>
  <c r="E24" i="98"/>
  <c r="P55" i="98"/>
  <c r="P23" i="98" s="1"/>
  <c r="F23" i="98"/>
  <c r="E23" i="98"/>
  <c r="P54" i="98"/>
  <c r="G22" i="98"/>
  <c r="F22" i="98"/>
  <c r="E22" i="98"/>
  <c r="P53" i="98"/>
  <c r="F21" i="98"/>
  <c r="E21" i="98"/>
  <c r="P52" i="98"/>
  <c r="G20" i="98"/>
  <c r="F20" i="98"/>
  <c r="E20" i="98"/>
  <c r="P51" i="98"/>
  <c r="F19" i="98"/>
  <c r="E19" i="98"/>
  <c r="P50" i="98"/>
  <c r="F18" i="98"/>
  <c r="E18" i="98"/>
  <c r="P49" i="98"/>
  <c r="G17" i="98"/>
  <c r="F17" i="98"/>
  <c r="E17" i="98"/>
  <c r="P48" i="98"/>
  <c r="G16" i="98"/>
  <c r="F16" i="98"/>
  <c r="E16" i="98"/>
  <c r="P47" i="98"/>
  <c r="P15" i="98" s="1"/>
  <c r="F15" i="98"/>
  <c r="E15" i="98"/>
  <c r="P46" i="98"/>
  <c r="G14" i="98"/>
  <c r="F14" i="98"/>
  <c r="E14" i="98"/>
  <c r="P45" i="98"/>
  <c r="M45" i="98"/>
  <c r="G13" i="98"/>
  <c r="P44" i="98"/>
  <c r="O44" i="98"/>
  <c r="N44" i="98"/>
  <c r="M44" i="98"/>
  <c r="L44" i="98"/>
  <c r="K44" i="98"/>
  <c r="J44" i="98"/>
  <c r="I44" i="98"/>
  <c r="H44" i="98"/>
  <c r="G44" i="98"/>
  <c r="F44" i="98"/>
  <c r="E44" i="98"/>
  <c r="D44" i="98"/>
  <c r="C44" i="98"/>
  <c r="P43" i="98"/>
  <c r="O43" i="98"/>
  <c r="L43" i="98"/>
  <c r="K43" i="98"/>
  <c r="I43" i="98"/>
  <c r="H43" i="98"/>
  <c r="G43" i="98"/>
  <c r="F43" i="98"/>
  <c r="E43" i="98"/>
  <c r="C43" i="98"/>
  <c r="P42" i="98"/>
  <c r="O42" i="98"/>
  <c r="I42" i="98"/>
  <c r="E42" i="98"/>
  <c r="C42" i="98"/>
  <c r="P36" i="98"/>
  <c r="O36" i="98"/>
  <c r="H36" i="98"/>
  <c r="G36" i="98"/>
  <c r="F36" i="98"/>
  <c r="C36" i="98"/>
  <c r="P35" i="98"/>
  <c r="O35" i="98"/>
  <c r="C35" i="98"/>
  <c r="P34" i="98"/>
  <c r="O34" i="98"/>
  <c r="C34" i="98"/>
  <c r="P33" i="98"/>
  <c r="O33" i="98"/>
  <c r="C33" i="98"/>
  <c r="P32" i="98"/>
  <c r="O32" i="98"/>
  <c r="J32" i="98"/>
  <c r="H32" i="98"/>
  <c r="C32" i="98"/>
  <c r="O31" i="98"/>
  <c r="C31" i="98"/>
  <c r="P30" i="98"/>
  <c r="O30" i="98"/>
  <c r="G30" i="98"/>
  <c r="C30" i="98"/>
  <c r="P29" i="98"/>
  <c r="O29" i="98"/>
  <c r="H29" i="98"/>
  <c r="C29" i="98"/>
  <c r="P28" i="98"/>
  <c r="O28" i="98"/>
  <c r="H28" i="98"/>
  <c r="C28" i="98"/>
  <c r="P27" i="98"/>
  <c r="O27" i="98"/>
  <c r="C27" i="98"/>
  <c r="O26" i="98"/>
  <c r="C26" i="98"/>
  <c r="O25" i="98"/>
  <c r="C25" i="98"/>
  <c r="P24" i="98"/>
  <c r="O24" i="98"/>
  <c r="H24" i="98"/>
  <c r="C24" i="98"/>
  <c r="O23" i="98"/>
  <c r="H23" i="98"/>
  <c r="C23" i="98"/>
  <c r="P22" i="98"/>
  <c r="O22" i="98"/>
  <c r="C22" i="98"/>
  <c r="O21" i="98"/>
  <c r="C21" i="98"/>
  <c r="P20" i="98"/>
  <c r="O20" i="98"/>
  <c r="H20" i="98"/>
  <c r="C20" i="98"/>
  <c r="P19" i="98"/>
  <c r="O19" i="98"/>
  <c r="C19" i="98"/>
  <c r="P18" i="98"/>
  <c r="O18" i="98"/>
  <c r="C18" i="98"/>
  <c r="P17" i="98"/>
  <c r="O17" i="98"/>
  <c r="C17" i="98"/>
  <c r="P16" i="98"/>
  <c r="O16" i="98"/>
  <c r="H16" i="98"/>
  <c r="C16" i="98"/>
  <c r="A16" i="98"/>
  <c r="A17" i="98" s="1"/>
  <c r="A18" i="98" s="1"/>
  <c r="A19" i="98" s="1"/>
  <c r="A20" i="98" s="1"/>
  <c r="A21" i="98" s="1"/>
  <c r="A22" i="98" s="1"/>
  <c r="A23" i="98" s="1"/>
  <c r="A24" i="98" s="1"/>
  <c r="A25" i="98" s="1"/>
  <c r="A26" i="98" s="1"/>
  <c r="A27" i="98" s="1"/>
  <c r="A28" i="98" s="1"/>
  <c r="A29" i="98" s="1"/>
  <c r="A30" i="98" s="1"/>
  <c r="A31" i="98" s="1"/>
  <c r="A32" i="98" s="1"/>
  <c r="A33" i="98" s="1"/>
  <c r="A34" i="98" s="1"/>
  <c r="A35" i="98" s="1"/>
  <c r="A36" i="98" s="1"/>
  <c r="A37" i="98" s="1"/>
  <c r="A45" i="98" s="1"/>
  <c r="A46" i="98" s="1"/>
  <c r="A47" i="98" s="1"/>
  <c r="A48" i="98" s="1"/>
  <c r="A49" i="98" s="1"/>
  <c r="A50" i="98" s="1"/>
  <c r="A51" i="98" s="1"/>
  <c r="A52" i="98" s="1"/>
  <c r="A53" i="98" s="1"/>
  <c r="A54" i="98" s="1"/>
  <c r="A55" i="98" s="1"/>
  <c r="A56" i="98" s="1"/>
  <c r="A57" i="98" s="1"/>
  <c r="A58" i="98" s="1"/>
  <c r="A59" i="98" s="1"/>
  <c r="A60" i="98" s="1"/>
  <c r="A61" i="98" s="1"/>
  <c r="A62" i="98" s="1"/>
  <c r="A63" i="98" s="1"/>
  <c r="A64" i="98" s="1"/>
  <c r="A65" i="98" s="1"/>
  <c r="A66" i="98" s="1"/>
  <c r="A67" i="98" s="1"/>
  <c r="A68" i="98" s="1"/>
  <c r="A76" i="98" s="1"/>
  <c r="A77" i="98" s="1"/>
  <c r="A78" i="98" s="1"/>
  <c r="A79" i="98" s="1"/>
  <c r="A80" i="98" s="1"/>
  <c r="A81" i="98" s="1"/>
  <c r="A82" i="98" s="1"/>
  <c r="A83" i="98" s="1"/>
  <c r="A84" i="98" s="1"/>
  <c r="A85" i="98" s="1"/>
  <c r="A86" i="98" s="1"/>
  <c r="A87" i="98" s="1"/>
  <c r="A88" i="98" s="1"/>
  <c r="A89" i="98" s="1"/>
  <c r="A90" i="98" s="1"/>
  <c r="A91" i="98" s="1"/>
  <c r="A92" i="98" s="1"/>
  <c r="A93" i="98" s="1"/>
  <c r="A94" i="98" s="1"/>
  <c r="A95" i="98" s="1"/>
  <c r="A96" i="98" s="1"/>
  <c r="A97" i="98" s="1"/>
  <c r="A98" i="98" s="1"/>
  <c r="A99" i="98" s="1"/>
  <c r="A103" i="98" s="1"/>
  <c r="O15" i="98"/>
  <c r="C15" i="98"/>
  <c r="P14" i="98"/>
  <c r="O14" i="98"/>
  <c r="C14" i="98"/>
  <c r="A14" i="98"/>
  <c r="A15" i="98" s="1"/>
  <c r="O13" i="98"/>
  <c r="L13" i="98"/>
  <c r="F13" i="98"/>
  <c r="C13" i="98"/>
  <c r="H302" i="97"/>
  <c r="G302" i="97"/>
  <c r="H301" i="97"/>
  <c r="G301" i="97"/>
  <c r="H300" i="97"/>
  <c r="G300" i="97"/>
  <c r="H299" i="97"/>
  <c r="G299" i="97"/>
  <c r="H298" i="97"/>
  <c r="G298" i="97"/>
  <c r="H297" i="97"/>
  <c r="G297" i="97"/>
  <c r="H296" i="97"/>
  <c r="G296" i="97"/>
  <c r="H295" i="97"/>
  <c r="G295" i="97"/>
  <c r="H294" i="97"/>
  <c r="G294" i="97"/>
  <c r="H293" i="97"/>
  <c r="G293" i="97"/>
  <c r="H292" i="97"/>
  <c r="G292" i="97"/>
  <c r="H291" i="97"/>
  <c r="G291" i="97"/>
  <c r="H290" i="97"/>
  <c r="G290" i="97"/>
  <c r="H283" i="97"/>
  <c r="G283" i="97"/>
  <c r="H282" i="97"/>
  <c r="G282" i="97"/>
  <c r="H281" i="97"/>
  <c r="G281" i="97"/>
  <c r="H280" i="97"/>
  <c r="G280" i="97"/>
  <c r="H279" i="97"/>
  <c r="G279" i="97"/>
  <c r="H278" i="97"/>
  <c r="G278" i="97"/>
  <c r="H277" i="97"/>
  <c r="G277" i="97"/>
  <c r="H276" i="97"/>
  <c r="G276" i="97"/>
  <c r="H275" i="97"/>
  <c r="G275" i="97"/>
  <c r="H274" i="97"/>
  <c r="G274" i="97"/>
  <c r="H273" i="97"/>
  <c r="G273" i="97"/>
  <c r="H272" i="97"/>
  <c r="G272" i="97"/>
  <c r="H271" i="97"/>
  <c r="G271" i="97"/>
  <c r="H264" i="97"/>
  <c r="G264" i="97"/>
  <c r="H263" i="97"/>
  <c r="G263" i="97"/>
  <c r="H262" i="97"/>
  <c r="G262" i="97"/>
  <c r="H261" i="97"/>
  <c r="G261" i="97"/>
  <c r="H260" i="97"/>
  <c r="G260" i="97"/>
  <c r="H259" i="97"/>
  <c r="G259" i="97"/>
  <c r="H258" i="97"/>
  <c r="G258" i="97"/>
  <c r="H257" i="97"/>
  <c r="G257" i="97"/>
  <c r="H256" i="97"/>
  <c r="G256" i="97"/>
  <c r="H255" i="97"/>
  <c r="G255" i="97"/>
  <c r="H254" i="97"/>
  <c r="G254" i="97"/>
  <c r="H253" i="97"/>
  <c r="G253" i="97"/>
  <c r="H252" i="97"/>
  <c r="G252" i="97"/>
  <c r="H245" i="97"/>
  <c r="G245" i="97"/>
  <c r="H244" i="97"/>
  <c r="G244" i="97"/>
  <c r="H243" i="97"/>
  <c r="G243" i="97"/>
  <c r="H242" i="97"/>
  <c r="G242" i="97"/>
  <c r="H241" i="97"/>
  <c r="G241" i="97"/>
  <c r="H240" i="97"/>
  <c r="G240" i="97"/>
  <c r="H239" i="97"/>
  <c r="G239" i="97"/>
  <c r="H238" i="97"/>
  <c r="G238" i="97"/>
  <c r="H237" i="97"/>
  <c r="G237" i="97"/>
  <c r="H236" i="97"/>
  <c r="G236" i="97"/>
  <c r="H235" i="97"/>
  <c r="E96" i="97" s="1"/>
  <c r="G96" i="97" s="1"/>
  <c r="G235" i="97"/>
  <c r="H234" i="97"/>
  <c r="G234" i="97"/>
  <c r="H233" i="97"/>
  <c r="G233" i="97"/>
  <c r="H226" i="97"/>
  <c r="G226" i="97"/>
  <c r="H225" i="97"/>
  <c r="G225" i="97"/>
  <c r="H224" i="97"/>
  <c r="G224" i="97"/>
  <c r="H223" i="97"/>
  <c r="G223" i="97"/>
  <c r="H222" i="97"/>
  <c r="G222" i="97"/>
  <c r="H221" i="97"/>
  <c r="G221" i="97"/>
  <c r="H220" i="97"/>
  <c r="G220" i="97"/>
  <c r="H219" i="97"/>
  <c r="G219" i="97"/>
  <c r="H218" i="97"/>
  <c r="G218" i="97"/>
  <c r="H217" i="97"/>
  <c r="G217" i="97"/>
  <c r="H216" i="97"/>
  <c r="G216" i="97"/>
  <c r="H215" i="97"/>
  <c r="G215" i="97"/>
  <c r="H214" i="97"/>
  <c r="G214" i="97"/>
  <c r="H207" i="97"/>
  <c r="G207" i="97"/>
  <c r="H206" i="97"/>
  <c r="G206" i="97"/>
  <c r="H205" i="97"/>
  <c r="G205" i="97"/>
  <c r="H204" i="97"/>
  <c r="G204" i="97"/>
  <c r="H203" i="97"/>
  <c r="G203" i="97"/>
  <c r="H202" i="97"/>
  <c r="G202" i="97"/>
  <c r="H201" i="97"/>
  <c r="G201" i="97"/>
  <c r="H200" i="97"/>
  <c r="G200" i="97"/>
  <c r="H199" i="97"/>
  <c r="G199" i="97"/>
  <c r="H198" i="97"/>
  <c r="G198" i="97"/>
  <c r="H197" i="97"/>
  <c r="G197" i="97"/>
  <c r="H196" i="97"/>
  <c r="G196" i="97"/>
  <c r="H195" i="97"/>
  <c r="E94" i="97" s="1"/>
  <c r="G94" i="97" s="1"/>
  <c r="G195" i="97"/>
  <c r="H188" i="97"/>
  <c r="G188" i="97"/>
  <c r="H187" i="97"/>
  <c r="G187" i="97"/>
  <c r="H186" i="97"/>
  <c r="G186" i="97"/>
  <c r="H185" i="97"/>
  <c r="G185" i="97"/>
  <c r="H184" i="97"/>
  <c r="G184" i="97"/>
  <c r="H183" i="97"/>
  <c r="G183" i="97"/>
  <c r="H182" i="97"/>
  <c r="E100" i="97" s="1"/>
  <c r="G100" i="97" s="1"/>
  <c r="G182" i="97"/>
  <c r="H181" i="97"/>
  <c r="G181" i="97"/>
  <c r="H180" i="97"/>
  <c r="E98" i="97" s="1"/>
  <c r="G98" i="97" s="1"/>
  <c r="G180" i="97"/>
  <c r="H179" i="97"/>
  <c r="G179" i="97"/>
  <c r="H178" i="97"/>
  <c r="G178" i="97"/>
  <c r="H177" i="97"/>
  <c r="G177" i="97"/>
  <c r="H176" i="97"/>
  <c r="G176" i="97"/>
  <c r="H169" i="97"/>
  <c r="G169" i="97"/>
  <c r="H168" i="97"/>
  <c r="E105" i="97" s="1"/>
  <c r="G105" i="97" s="1"/>
  <c r="G168" i="97"/>
  <c r="H167" i="97"/>
  <c r="G167" i="97"/>
  <c r="G82" i="97" s="1"/>
  <c r="E82" i="97" s="1"/>
  <c r="H166" i="97"/>
  <c r="G166" i="97"/>
  <c r="G81" i="97" s="1"/>
  <c r="H165" i="97"/>
  <c r="G165" i="97"/>
  <c r="H164" i="97"/>
  <c r="G164" i="97"/>
  <c r="H163" i="97"/>
  <c r="G163" i="97"/>
  <c r="H162" i="97"/>
  <c r="G162" i="97"/>
  <c r="H161" i="97"/>
  <c r="G161" i="97"/>
  <c r="H160" i="97"/>
  <c r="G160" i="97"/>
  <c r="H159" i="97"/>
  <c r="G159" i="97"/>
  <c r="G74" i="97" s="1"/>
  <c r="E74" i="97" s="1"/>
  <c r="H158" i="97"/>
  <c r="G158" i="97"/>
  <c r="H157" i="97"/>
  <c r="G157" i="97"/>
  <c r="G72" i="97" s="1"/>
  <c r="H149" i="97"/>
  <c r="G149" i="97"/>
  <c r="H148" i="97"/>
  <c r="G148" i="97"/>
  <c r="H147" i="97"/>
  <c r="G147" i="97"/>
  <c r="H82" i="97" s="1"/>
  <c r="H146" i="97"/>
  <c r="G146" i="97"/>
  <c r="H81" i="97" s="1"/>
  <c r="H145" i="97"/>
  <c r="G145" i="97"/>
  <c r="H144" i="97"/>
  <c r="G144" i="97"/>
  <c r="H143" i="97"/>
  <c r="G143" i="97"/>
  <c r="H78" i="97" s="1"/>
  <c r="H142" i="97"/>
  <c r="G142" i="97"/>
  <c r="H141" i="97"/>
  <c r="G141" i="97"/>
  <c r="H140" i="97"/>
  <c r="E97" i="97" s="1"/>
  <c r="G140" i="97"/>
  <c r="H139" i="97"/>
  <c r="G139" i="97"/>
  <c r="H138" i="97"/>
  <c r="G138" i="97"/>
  <c r="H137" i="97"/>
  <c r="G137" i="97"/>
  <c r="H129" i="97"/>
  <c r="G129" i="97"/>
  <c r="F84" i="97" s="1"/>
  <c r="H128" i="97"/>
  <c r="G128" i="97"/>
  <c r="H127" i="97"/>
  <c r="G127" i="97"/>
  <c r="H126" i="97"/>
  <c r="G126" i="97"/>
  <c r="H125" i="97"/>
  <c r="G125" i="97"/>
  <c r="H124" i="97"/>
  <c r="E101" i="97" s="1"/>
  <c r="G101" i="97" s="1"/>
  <c r="G124" i="97"/>
  <c r="H123" i="97"/>
  <c r="G123" i="97"/>
  <c r="F78" i="97" s="1"/>
  <c r="H122" i="97"/>
  <c r="G122" i="97"/>
  <c r="H121" i="97"/>
  <c r="G121" i="97"/>
  <c r="F76" i="97" s="1"/>
  <c r="H120" i="97"/>
  <c r="G120" i="97"/>
  <c r="F75" i="97" s="1"/>
  <c r="E75" i="97" s="1"/>
  <c r="H119" i="97"/>
  <c r="G119" i="97"/>
  <c r="H118" i="97"/>
  <c r="G118" i="97"/>
  <c r="H117" i="97"/>
  <c r="G117" i="97"/>
  <c r="F72" i="97" s="1"/>
  <c r="F107" i="97"/>
  <c r="E102" i="97"/>
  <c r="G102" i="97" s="1"/>
  <c r="G97" i="97"/>
  <c r="H84" i="97"/>
  <c r="G84" i="97"/>
  <c r="G48" i="97" s="1"/>
  <c r="E84" i="97"/>
  <c r="H83" i="97"/>
  <c r="G83" i="97"/>
  <c r="F83" i="97"/>
  <c r="E83" i="97" s="1"/>
  <c r="F82" i="97"/>
  <c r="F81" i="97"/>
  <c r="H80" i="97"/>
  <c r="G80" i="97"/>
  <c r="F80" i="97"/>
  <c r="E80" i="97"/>
  <c r="H79" i="97"/>
  <c r="G79" i="97"/>
  <c r="F79" i="97"/>
  <c r="G78" i="97"/>
  <c r="H77" i="97"/>
  <c r="G77" i="97"/>
  <c r="F77" i="97"/>
  <c r="E77" i="97" s="1"/>
  <c r="H76" i="97"/>
  <c r="G76" i="97"/>
  <c r="E76" i="97"/>
  <c r="H75" i="97"/>
  <c r="G75" i="97"/>
  <c r="H74" i="97"/>
  <c r="F74" i="97"/>
  <c r="H73" i="97"/>
  <c r="G73" i="97"/>
  <c r="F73" i="97"/>
  <c r="H72" i="97"/>
  <c r="F48" i="97"/>
  <c r="G47" i="97"/>
  <c r="G46" i="97"/>
  <c r="E46" i="97" s="1"/>
  <c r="F62" i="97"/>
  <c r="A27" i="97"/>
  <c r="F61" i="97"/>
  <c r="F401" i="96"/>
  <c r="F400" i="96"/>
  <c r="F399" i="96"/>
  <c r="F398" i="96"/>
  <c r="F397" i="96"/>
  <c r="F396" i="96"/>
  <c r="F395" i="96"/>
  <c r="F394" i="96"/>
  <c r="F393" i="96"/>
  <c r="F392" i="96"/>
  <c r="F391" i="96"/>
  <c r="F390" i="96"/>
  <c r="F389" i="96"/>
  <c r="F388" i="96"/>
  <c r="F387" i="96"/>
  <c r="F386" i="96"/>
  <c r="F385" i="96"/>
  <c r="F384" i="96"/>
  <c r="F383" i="96"/>
  <c r="F382" i="96"/>
  <c r="F381" i="96"/>
  <c r="F380" i="96"/>
  <c r="F379" i="96"/>
  <c r="F378" i="96"/>
  <c r="K376" i="96"/>
  <c r="J376" i="96"/>
  <c r="I376" i="96"/>
  <c r="H376" i="96"/>
  <c r="G376" i="96"/>
  <c r="F376" i="96"/>
  <c r="E376" i="96"/>
  <c r="D376" i="96"/>
  <c r="K375" i="96"/>
  <c r="J375" i="96"/>
  <c r="I375" i="96"/>
  <c r="H375" i="96"/>
  <c r="G375" i="96"/>
  <c r="F375" i="96"/>
  <c r="E375" i="96"/>
  <c r="D375" i="96"/>
  <c r="G374" i="96"/>
  <c r="F368" i="96"/>
  <c r="F367" i="96"/>
  <c r="F366" i="96"/>
  <c r="F365" i="96"/>
  <c r="F364" i="96"/>
  <c r="F363" i="96"/>
  <c r="F362" i="96"/>
  <c r="F361" i="96"/>
  <c r="F360" i="96"/>
  <c r="F359" i="96"/>
  <c r="F358" i="96"/>
  <c r="F357" i="96"/>
  <c r="F356" i="96"/>
  <c r="F355" i="96"/>
  <c r="F354" i="96"/>
  <c r="F353" i="96"/>
  <c r="F352" i="96"/>
  <c r="F351" i="96"/>
  <c r="F350" i="96"/>
  <c r="F349" i="96"/>
  <c r="F348" i="96"/>
  <c r="F347" i="96"/>
  <c r="F346" i="96"/>
  <c r="F345" i="96"/>
  <c r="J344" i="96"/>
  <c r="K343" i="96"/>
  <c r="J343" i="96"/>
  <c r="I343" i="96"/>
  <c r="H343" i="96"/>
  <c r="G343" i="96"/>
  <c r="F343" i="96"/>
  <c r="E343" i="96"/>
  <c r="D343" i="96"/>
  <c r="K342" i="96"/>
  <c r="J342" i="96"/>
  <c r="I342" i="96"/>
  <c r="H342" i="96"/>
  <c r="G342" i="96"/>
  <c r="F342" i="96"/>
  <c r="E342" i="96"/>
  <c r="D342" i="96"/>
  <c r="G341" i="96"/>
  <c r="F337" i="96"/>
  <c r="F336" i="96"/>
  <c r="F335" i="96"/>
  <c r="F334" i="96"/>
  <c r="F333" i="96"/>
  <c r="F332" i="96"/>
  <c r="F331" i="96"/>
  <c r="F330" i="96"/>
  <c r="F329" i="96"/>
  <c r="F328" i="96"/>
  <c r="F327" i="96"/>
  <c r="F326" i="96"/>
  <c r="F325" i="96"/>
  <c r="F324" i="96"/>
  <c r="F323" i="96"/>
  <c r="F322" i="96"/>
  <c r="F321" i="96"/>
  <c r="F320" i="96"/>
  <c r="F319" i="96"/>
  <c r="F318" i="96"/>
  <c r="F317" i="96"/>
  <c r="F316" i="96"/>
  <c r="F315" i="96"/>
  <c r="F314" i="96"/>
  <c r="J313" i="96"/>
  <c r="K312" i="96"/>
  <c r="J312" i="96"/>
  <c r="I312" i="96"/>
  <c r="H312" i="96"/>
  <c r="G312" i="96"/>
  <c r="F312" i="96"/>
  <c r="E312" i="96"/>
  <c r="D312" i="96"/>
  <c r="K311" i="96"/>
  <c r="J311" i="96"/>
  <c r="I311" i="96"/>
  <c r="H311" i="96"/>
  <c r="G311" i="96"/>
  <c r="F311" i="96"/>
  <c r="E311" i="96"/>
  <c r="D311" i="96"/>
  <c r="G310" i="96"/>
  <c r="F304" i="96"/>
  <c r="F303" i="96"/>
  <c r="F302" i="96"/>
  <c r="F301" i="96"/>
  <c r="F300" i="96"/>
  <c r="F299" i="96"/>
  <c r="F298" i="96"/>
  <c r="F297" i="96"/>
  <c r="F296" i="96"/>
  <c r="F295" i="96"/>
  <c r="F294" i="96"/>
  <c r="F293" i="96"/>
  <c r="F292" i="96"/>
  <c r="F291" i="96"/>
  <c r="F290" i="96"/>
  <c r="F289" i="96"/>
  <c r="F288" i="96"/>
  <c r="F287" i="96"/>
  <c r="F286" i="96"/>
  <c r="F285" i="96"/>
  <c r="F284" i="96"/>
  <c r="F283" i="96"/>
  <c r="F282" i="96"/>
  <c r="F281" i="96"/>
  <c r="J280" i="96"/>
  <c r="K279" i="96"/>
  <c r="J279" i="96"/>
  <c r="I279" i="96"/>
  <c r="H279" i="96"/>
  <c r="G279" i="96"/>
  <c r="F279" i="96"/>
  <c r="E279" i="96"/>
  <c r="D279" i="96"/>
  <c r="K278" i="96"/>
  <c r="J278" i="96"/>
  <c r="I278" i="96"/>
  <c r="H278" i="96"/>
  <c r="G278" i="96"/>
  <c r="F278" i="96"/>
  <c r="E278" i="96"/>
  <c r="D278" i="96"/>
  <c r="G277" i="96"/>
  <c r="F273" i="96"/>
  <c r="F272" i="96"/>
  <c r="F271" i="96"/>
  <c r="F270" i="96"/>
  <c r="F269" i="96"/>
  <c r="F268" i="96"/>
  <c r="F267" i="96"/>
  <c r="F266" i="96"/>
  <c r="F265" i="96"/>
  <c r="F264" i="96"/>
  <c r="F263" i="96"/>
  <c r="F262" i="96"/>
  <c r="F261" i="96"/>
  <c r="F260" i="96"/>
  <c r="F259" i="96"/>
  <c r="F258" i="96"/>
  <c r="F257" i="96"/>
  <c r="F256" i="96"/>
  <c r="F255" i="96"/>
  <c r="F254" i="96"/>
  <c r="F253" i="96"/>
  <c r="F252" i="96"/>
  <c r="F251" i="96"/>
  <c r="J249" i="96"/>
  <c r="K248" i="96"/>
  <c r="J248" i="96"/>
  <c r="I248" i="96"/>
  <c r="H248" i="96"/>
  <c r="F248" i="96"/>
  <c r="E248" i="96"/>
  <c r="D248" i="96"/>
  <c r="K247" i="96"/>
  <c r="J247" i="96"/>
  <c r="I247" i="96"/>
  <c r="H247" i="96"/>
  <c r="F247" i="96"/>
  <c r="E247" i="96"/>
  <c r="D247" i="96"/>
  <c r="F240" i="96"/>
  <c r="F239" i="96"/>
  <c r="F238" i="96"/>
  <c r="F237" i="96"/>
  <c r="F236" i="96"/>
  <c r="F235" i="96"/>
  <c r="F234" i="96"/>
  <c r="F233" i="96"/>
  <c r="F232" i="96"/>
  <c r="F231" i="96"/>
  <c r="F230" i="96"/>
  <c r="F229" i="96"/>
  <c r="F228" i="96"/>
  <c r="F227" i="96"/>
  <c r="F226" i="96"/>
  <c r="F225" i="96"/>
  <c r="F224" i="96"/>
  <c r="F223" i="96"/>
  <c r="F222" i="96"/>
  <c r="F221" i="96"/>
  <c r="F220" i="96"/>
  <c r="F219" i="96"/>
  <c r="F218" i="96"/>
  <c r="F217" i="96"/>
  <c r="J216" i="96"/>
  <c r="K215" i="96"/>
  <c r="J215" i="96"/>
  <c r="I215" i="96"/>
  <c r="H215" i="96"/>
  <c r="G215" i="96"/>
  <c r="F215" i="96"/>
  <c r="E215" i="96"/>
  <c r="D215" i="96"/>
  <c r="K214" i="96"/>
  <c r="J214" i="96"/>
  <c r="I214" i="96"/>
  <c r="H214" i="96"/>
  <c r="G214" i="96"/>
  <c r="F214" i="96"/>
  <c r="E214" i="96"/>
  <c r="D214" i="96"/>
  <c r="G213" i="96"/>
  <c r="F209" i="96"/>
  <c r="F208" i="96"/>
  <c r="F207" i="96"/>
  <c r="F206" i="96"/>
  <c r="F205" i="96"/>
  <c r="F204" i="96"/>
  <c r="F203" i="96"/>
  <c r="F202" i="96"/>
  <c r="F201" i="96"/>
  <c r="F200" i="96"/>
  <c r="F199" i="96"/>
  <c r="F198" i="96"/>
  <c r="F197" i="96"/>
  <c r="F196" i="96"/>
  <c r="F195" i="96"/>
  <c r="F193" i="96"/>
  <c r="F192" i="96"/>
  <c r="F191" i="96"/>
  <c r="F190" i="96"/>
  <c r="F189" i="96"/>
  <c r="F188" i="96"/>
  <c r="F187" i="96"/>
  <c r="F186" i="96"/>
  <c r="J185" i="96"/>
  <c r="K184" i="96"/>
  <c r="J184" i="96"/>
  <c r="I184" i="96"/>
  <c r="H184" i="96"/>
  <c r="G184" i="96"/>
  <c r="F184" i="96"/>
  <c r="E184" i="96"/>
  <c r="D184" i="96"/>
  <c r="K183" i="96"/>
  <c r="J183" i="96"/>
  <c r="I183" i="96"/>
  <c r="H183" i="96"/>
  <c r="G183" i="96"/>
  <c r="F183" i="96"/>
  <c r="E183" i="96"/>
  <c r="D183" i="96"/>
  <c r="G182" i="96"/>
  <c r="F176" i="96"/>
  <c r="F175" i="96"/>
  <c r="F174" i="96"/>
  <c r="F173" i="96"/>
  <c r="F172" i="96"/>
  <c r="F171" i="96"/>
  <c r="F169" i="96"/>
  <c r="F168" i="96"/>
  <c r="F167" i="96"/>
  <c r="F166" i="96"/>
  <c r="F165" i="96"/>
  <c r="F164" i="96"/>
  <c r="F163" i="96"/>
  <c r="F161" i="96"/>
  <c r="F160" i="96"/>
  <c r="F159" i="96"/>
  <c r="F158" i="96"/>
  <c r="F157" i="96"/>
  <c r="F156" i="96"/>
  <c r="F155" i="96"/>
  <c r="F153" i="96"/>
  <c r="J152" i="96"/>
  <c r="K151" i="96"/>
  <c r="J151" i="96"/>
  <c r="I151" i="96"/>
  <c r="H151" i="96"/>
  <c r="G151" i="96"/>
  <c r="F151" i="96"/>
  <c r="E151" i="96"/>
  <c r="D151" i="96"/>
  <c r="K150" i="96"/>
  <c r="J150" i="96"/>
  <c r="I150" i="96"/>
  <c r="H150" i="96"/>
  <c r="G150" i="96"/>
  <c r="F150" i="96"/>
  <c r="E150" i="96"/>
  <c r="D150" i="96"/>
  <c r="G149" i="96"/>
  <c r="F145" i="96"/>
  <c r="F144" i="96"/>
  <c r="F143" i="96"/>
  <c r="F142" i="96"/>
  <c r="F141" i="96"/>
  <c r="F140" i="96"/>
  <c r="F139" i="96"/>
  <c r="F138" i="96"/>
  <c r="F137" i="96"/>
  <c r="F136" i="96"/>
  <c r="F135" i="96"/>
  <c r="F134" i="96"/>
  <c r="F133" i="96"/>
  <c r="F132" i="96"/>
  <c r="F131" i="96"/>
  <c r="F130" i="96"/>
  <c r="F129" i="96"/>
  <c r="F128" i="96"/>
  <c r="F127" i="96"/>
  <c r="F126" i="96"/>
  <c r="F125" i="96"/>
  <c r="F124" i="96"/>
  <c r="F123" i="96"/>
  <c r="F122" i="96"/>
  <c r="J121" i="96"/>
  <c r="K120" i="96"/>
  <c r="J120" i="96"/>
  <c r="I120" i="96"/>
  <c r="H120" i="96"/>
  <c r="G120" i="96"/>
  <c r="F120" i="96"/>
  <c r="E120" i="96"/>
  <c r="D120" i="96"/>
  <c r="K119" i="96"/>
  <c r="J119" i="96"/>
  <c r="I119" i="96"/>
  <c r="H119" i="96"/>
  <c r="G119" i="96"/>
  <c r="F119" i="96"/>
  <c r="E119" i="96"/>
  <c r="D119" i="96"/>
  <c r="G118" i="96"/>
  <c r="F112" i="96"/>
  <c r="F111" i="96"/>
  <c r="F110" i="96"/>
  <c r="F109" i="96"/>
  <c r="F108" i="96"/>
  <c r="F106" i="96"/>
  <c r="F105" i="96"/>
  <c r="F104" i="96"/>
  <c r="F103" i="96"/>
  <c r="F102" i="96"/>
  <c r="F100" i="96"/>
  <c r="F98" i="96"/>
  <c r="F97" i="96"/>
  <c r="F96" i="96"/>
  <c r="F95" i="96"/>
  <c r="F94" i="96"/>
  <c r="F93" i="96"/>
  <c r="F92" i="96"/>
  <c r="F90" i="96"/>
  <c r="F89" i="96"/>
  <c r="J88" i="96"/>
  <c r="K87" i="96"/>
  <c r="J87" i="96"/>
  <c r="I87" i="96"/>
  <c r="H87" i="96"/>
  <c r="G87" i="96"/>
  <c r="F87" i="96"/>
  <c r="E87" i="96"/>
  <c r="D87" i="96"/>
  <c r="K86" i="96"/>
  <c r="J86" i="96"/>
  <c r="I86" i="96"/>
  <c r="H86" i="96"/>
  <c r="G86" i="96"/>
  <c r="F86" i="96"/>
  <c r="E86" i="96"/>
  <c r="D86" i="96"/>
  <c r="G85" i="96"/>
  <c r="H78" i="96"/>
  <c r="G78" i="96"/>
  <c r="D78" i="96"/>
  <c r="H77" i="96"/>
  <c r="G77" i="96"/>
  <c r="D77" i="96"/>
  <c r="H76" i="96"/>
  <c r="G76" i="96"/>
  <c r="D76" i="96"/>
  <c r="H75" i="96"/>
  <c r="G75" i="96"/>
  <c r="D75" i="96"/>
  <c r="H74" i="96"/>
  <c r="G74" i="96"/>
  <c r="D74" i="96"/>
  <c r="H73" i="96"/>
  <c r="G73" i="96"/>
  <c r="D73" i="96"/>
  <c r="H72" i="96"/>
  <c r="G72" i="96"/>
  <c r="D72" i="96"/>
  <c r="H71" i="96"/>
  <c r="G71" i="96"/>
  <c r="D71" i="96"/>
  <c r="H70" i="96"/>
  <c r="G70" i="96"/>
  <c r="D70" i="96"/>
  <c r="H69" i="96"/>
  <c r="G69" i="96"/>
  <c r="D69" i="96"/>
  <c r="H68" i="96"/>
  <c r="G68" i="96"/>
  <c r="D68" i="96"/>
  <c r="H67" i="96"/>
  <c r="G67" i="96"/>
  <c r="D67" i="96"/>
  <c r="H66" i="96"/>
  <c r="G66" i="96"/>
  <c r="D66" i="96"/>
  <c r="H65" i="96"/>
  <c r="G65" i="96"/>
  <c r="D65" i="96"/>
  <c r="H64" i="96"/>
  <c r="G64" i="96"/>
  <c r="D64" i="96"/>
  <c r="H63" i="96"/>
  <c r="G63" i="96"/>
  <c r="D63" i="96"/>
  <c r="H62" i="96"/>
  <c r="G62" i="96"/>
  <c r="D62" i="96"/>
  <c r="H61" i="96"/>
  <c r="G61" i="96"/>
  <c r="D61" i="96"/>
  <c r="H60" i="96"/>
  <c r="G60" i="96"/>
  <c r="D60" i="96"/>
  <c r="H59" i="96"/>
  <c r="G59" i="96"/>
  <c r="D59" i="96"/>
  <c r="H58" i="96"/>
  <c r="G58" i="96"/>
  <c r="D58" i="96"/>
  <c r="H57" i="96"/>
  <c r="G57" i="96"/>
  <c r="D57" i="96"/>
  <c r="H56" i="96"/>
  <c r="G56" i="96"/>
  <c r="D56" i="96"/>
  <c r="H55" i="96"/>
  <c r="G55" i="96"/>
  <c r="D55" i="96"/>
  <c r="J54" i="96"/>
  <c r="G46" i="96"/>
  <c r="F46" i="96"/>
  <c r="E46" i="96"/>
  <c r="D46" i="96"/>
  <c r="I26" i="96"/>
  <c r="H26" i="96"/>
  <c r="G26" i="96"/>
  <c r="F26" i="96"/>
  <c r="E26" i="96"/>
  <c r="D25" i="96"/>
  <c r="D24" i="96"/>
  <c r="D23" i="96"/>
  <c r="D22" i="96"/>
  <c r="D21" i="96"/>
  <c r="D20" i="96"/>
  <c r="D19" i="96"/>
  <c r="D18" i="96"/>
  <c r="D17" i="96"/>
  <c r="D16" i="96"/>
  <c r="D15" i="96"/>
  <c r="A15" i="96"/>
  <c r="A16" i="96" s="1"/>
  <c r="A17" i="96" s="1"/>
  <c r="A18" i="96" s="1"/>
  <c r="A19" i="96" s="1"/>
  <c r="A20" i="96" s="1"/>
  <c r="A21" i="96" s="1"/>
  <c r="A22" i="96" s="1"/>
  <c r="A23" i="96" s="1"/>
  <c r="A24" i="96" s="1"/>
  <c r="A25" i="96" s="1"/>
  <c r="A26" i="96" s="1"/>
  <c r="A33" i="96" s="1"/>
  <c r="A34" i="96" s="1"/>
  <c r="A35" i="96" s="1"/>
  <c r="A36" i="96" s="1"/>
  <c r="A37" i="96" s="1"/>
  <c r="A38" i="96" s="1"/>
  <c r="A39" i="96" s="1"/>
  <c r="A40" i="96" s="1"/>
  <c r="A41" i="96" s="1"/>
  <c r="A42" i="96" s="1"/>
  <c r="A43" i="96" s="1"/>
  <c r="A44" i="96" s="1"/>
  <c r="A45" i="96" s="1"/>
  <c r="A46" i="96" s="1"/>
  <c r="A54" i="96" s="1"/>
  <c r="A55" i="96" s="1"/>
  <c r="A56" i="96" s="1"/>
  <c r="A57" i="96" s="1"/>
  <c r="A58" i="96" s="1"/>
  <c r="A59" i="96" s="1"/>
  <c r="A60" i="96" s="1"/>
  <c r="A61" i="96" s="1"/>
  <c r="A62" i="96" s="1"/>
  <c r="A63" i="96" s="1"/>
  <c r="A64" i="96" s="1"/>
  <c r="A65" i="96" s="1"/>
  <c r="A66" i="96" s="1"/>
  <c r="A67" i="96" s="1"/>
  <c r="A68" i="96" s="1"/>
  <c r="A69" i="96" s="1"/>
  <c r="A70" i="96" s="1"/>
  <c r="A71" i="96" s="1"/>
  <c r="A72" i="96" s="1"/>
  <c r="A73" i="96" s="1"/>
  <c r="A74" i="96" s="1"/>
  <c r="A75" i="96" s="1"/>
  <c r="A76" i="96" s="1"/>
  <c r="A77" i="96" s="1"/>
  <c r="A78" i="96" s="1"/>
  <c r="A79" i="96" s="1"/>
  <c r="A88" i="96" s="1"/>
  <c r="A89" i="96" s="1"/>
  <c r="A90" i="96" s="1"/>
  <c r="A91" i="96" s="1"/>
  <c r="A92" i="96" s="1"/>
  <c r="A93" i="96" s="1"/>
  <c r="A94" i="96" s="1"/>
  <c r="A95" i="96" s="1"/>
  <c r="A96" i="96" s="1"/>
  <c r="A97" i="96" s="1"/>
  <c r="A98" i="96" s="1"/>
  <c r="A99" i="96" s="1"/>
  <c r="A100" i="96" s="1"/>
  <c r="A101" i="96" s="1"/>
  <c r="A102" i="96" s="1"/>
  <c r="A103" i="96" s="1"/>
  <c r="A104" i="96" s="1"/>
  <c r="A105" i="96" s="1"/>
  <c r="A106" i="96" s="1"/>
  <c r="A107" i="96" s="1"/>
  <c r="A108" i="96" s="1"/>
  <c r="A109" i="96" s="1"/>
  <c r="A110" i="96" s="1"/>
  <c r="A111" i="96" s="1"/>
  <c r="A112" i="96" s="1"/>
  <c r="A113" i="96" s="1"/>
  <c r="A121" i="96" s="1"/>
  <c r="A122" i="96" s="1"/>
  <c r="A123" i="96" s="1"/>
  <c r="A124" i="96" s="1"/>
  <c r="A125" i="96" s="1"/>
  <c r="A126" i="96" s="1"/>
  <c r="A127" i="96" s="1"/>
  <c r="A128" i="96" s="1"/>
  <c r="A129" i="96" s="1"/>
  <c r="A130" i="96" s="1"/>
  <c r="A131" i="96" s="1"/>
  <c r="A132" i="96" s="1"/>
  <c r="A133" i="96" s="1"/>
  <c r="A134" i="96" s="1"/>
  <c r="A135" i="96" s="1"/>
  <c r="A136" i="96" s="1"/>
  <c r="A137" i="96" s="1"/>
  <c r="A138" i="96" s="1"/>
  <c r="A139" i="96" s="1"/>
  <c r="A140" i="96" s="1"/>
  <c r="A141" i="96" s="1"/>
  <c r="A142" i="96" s="1"/>
  <c r="A143" i="96" s="1"/>
  <c r="A144" i="96" s="1"/>
  <c r="A145" i="96" s="1"/>
  <c r="A146" i="96" s="1"/>
  <c r="A152" i="96" s="1"/>
  <c r="A153" i="96" s="1"/>
  <c r="A154" i="96" s="1"/>
  <c r="A155" i="96" s="1"/>
  <c r="A156" i="96" s="1"/>
  <c r="A157" i="96" s="1"/>
  <c r="A158" i="96" s="1"/>
  <c r="A159" i="96" s="1"/>
  <c r="A160" i="96" s="1"/>
  <c r="A161" i="96" s="1"/>
  <c r="A162" i="96" s="1"/>
  <c r="A163" i="96" s="1"/>
  <c r="A164" i="96" s="1"/>
  <c r="A165" i="96" s="1"/>
  <c r="A166" i="96" s="1"/>
  <c r="A167" i="96" s="1"/>
  <c r="A168" i="96" s="1"/>
  <c r="A169" i="96" s="1"/>
  <c r="A170" i="96" s="1"/>
  <c r="A171" i="96" s="1"/>
  <c r="A172" i="96" s="1"/>
  <c r="A173" i="96" s="1"/>
  <c r="A174" i="96" s="1"/>
  <c r="A175" i="96" s="1"/>
  <c r="A176" i="96" s="1"/>
  <c r="A177" i="96" s="1"/>
  <c r="A185" i="96" s="1"/>
  <c r="A186" i="96" s="1"/>
  <c r="A187" i="96" s="1"/>
  <c r="A188" i="96" s="1"/>
  <c r="A189" i="96" s="1"/>
  <c r="A190" i="96" s="1"/>
  <c r="A191" i="96" s="1"/>
  <c r="A192" i="96" s="1"/>
  <c r="A193" i="96" s="1"/>
  <c r="A194" i="96" s="1"/>
  <c r="A195" i="96" s="1"/>
  <c r="A196" i="96" s="1"/>
  <c r="A197" i="96" s="1"/>
  <c r="A198" i="96" s="1"/>
  <c r="A199" i="96" s="1"/>
  <c r="A200" i="96" s="1"/>
  <c r="A201" i="96" s="1"/>
  <c r="A202" i="96" s="1"/>
  <c r="A203" i="96" s="1"/>
  <c r="A204" i="96" s="1"/>
  <c r="A205" i="96" s="1"/>
  <c r="A206" i="96" s="1"/>
  <c r="A207" i="96" s="1"/>
  <c r="A208" i="96" s="1"/>
  <c r="A209" i="96" s="1"/>
  <c r="A210" i="96" s="1"/>
  <c r="A216" i="96" s="1"/>
  <c r="A217" i="96" s="1"/>
  <c r="A218" i="96" s="1"/>
  <c r="A219" i="96" s="1"/>
  <c r="A220" i="96" s="1"/>
  <c r="A221" i="96" s="1"/>
  <c r="A222" i="96" s="1"/>
  <c r="A223" i="96" s="1"/>
  <c r="A224" i="96" s="1"/>
  <c r="A225" i="96" s="1"/>
  <c r="A226" i="96" s="1"/>
  <c r="A227" i="96" s="1"/>
  <c r="A228" i="96" s="1"/>
  <c r="A229" i="96" s="1"/>
  <c r="A230" i="96" s="1"/>
  <c r="A231" i="96" s="1"/>
  <c r="A232" i="96" s="1"/>
  <c r="A233" i="96" s="1"/>
  <c r="A234" i="96" s="1"/>
  <c r="A235" i="96" s="1"/>
  <c r="A236" i="96" s="1"/>
  <c r="A237" i="96" s="1"/>
  <c r="A238" i="96" s="1"/>
  <c r="A239" i="96" s="1"/>
  <c r="A240" i="96" s="1"/>
  <c r="A241" i="96" s="1"/>
  <c r="A249" i="96" s="1"/>
  <c r="A250" i="96" s="1"/>
  <c r="A251" i="96" s="1"/>
  <c r="A252" i="96" s="1"/>
  <c r="A253" i="96" s="1"/>
  <c r="A254" i="96" s="1"/>
  <c r="A255" i="96" s="1"/>
  <c r="A256" i="96" s="1"/>
  <c r="A257" i="96" s="1"/>
  <c r="A258" i="96" s="1"/>
  <c r="A259" i="96" s="1"/>
  <c r="A260" i="96" s="1"/>
  <c r="A261" i="96" s="1"/>
  <c r="A262" i="96" s="1"/>
  <c r="A263" i="96" s="1"/>
  <c r="A264" i="96" s="1"/>
  <c r="A265" i="96" s="1"/>
  <c r="A266" i="96" s="1"/>
  <c r="A267" i="96" s="1"/>
  <c r="A268" i="96" s="1"/>
  <c r="A269" i="96" s="1"/>
  <c r="A270" i="96" s="1"/>
  <c r="A271" i="96" s="1"/>
  <c r="A272" i="96" s="1"/>
  <c r="A273" i="96" s="1"/>
  <c r="A274" i="96" s="1"/>
  <c r="A280" i="96" s="1"/>
  <c r="A281" i="96" s="1"/>
  <c r="A282" i="96" s="1"/>
  <c r="A283" i="96" s="1"/>
  <c r="A284" i="96" s="1"/>
  <c r="A285" i="96" s="1"/>
  <c r="A286" i="96" s="1"/>
  <c r="A287" i="96" s="1"/>
  <c r="A288" i="96" s="1"/>
  <c r="A289" i="96" s="1"/>
  <c r="A290" i="96" s="1"/>
  <c r="A291" i="96" s="1"/>
  <c r="A292" i="96" s="1"/>
  <c r="A293" i="96" s="1"/>
  <c r="A294" i="96" s="1"/>
  <c r="A295" i="96" s="1"/>
  <c r="A296" i="96" s="1"/>
  <c r="A297" i="96" s="1"/>
  <c r="A298" i="96" s="1"/>
  <c r="A299" i="96" s="1"/>
  <c r="A300" i="96" s="1"/>
  <c r="A301" i="96" s="1"/>
  <c r="A302" i="96" s="1"/>
  <c r="A303" i="96" s="1"/>
  <c r="A304" i="96" s="1"/>
  <c r="A305" i="96" s="1"/>
  <c r="A313" i="96" s="1"/>
  <c r="A314" i="96" s="1"/>
  <c r="A315" i="96" s="1"/>
  <c r="A316" i="96" s="1"/>
  <c r="A317" i="96" s="1"/>
  <c r="A318" i="96" s="1"/>
  <c r="A319" i="96" s="1"/>
  <c r="A320" i="96" s="1"/>
  <c r="A321" i="96" s="1"/>
  <c r="A322" i="96" s="1"/>
  <c r="A323" i="96" s="1"/>
  <c r="A324" i="96" s="1"/>
  <c r="A325" i="96" s="1"/>
  <c r="A326" i="96" s="1"/>
  <c r="A327" i="96" s="1"/>
  <c r="A328" i="96" s="1"/>
  <c r="A329" i="96" s="1"/>
  <c r="A330" i="96" s="1"/>
  <c r="A331" i="96" s="1"/>
  <c r="A332" i="96" s="1"/>
  <c r="A333" i="96" s="1"/>
  <c r="A334" i="96" s="1"/>
  <c r="A335" i="96" s="1"/>
  <c r="A336" i="96" s="1"/>
  <c r="A337" i="96" s="1"/>
  <c r="A338" i="96" s="1"/>
  <c r="A344" i="96" s="1"/>
  <c r="A345" i="96" s="1"/>
  <c r="A346" i="96" s="1"/>
  <c r="A347" i="96" s="1"/>
  <c r="A348" i="96" s="1"/>
  <c r="A349" i="96" s="1"/>
  <c r="A350" i="96" s="1"/>
  <c r="A351" i="96" s="1"/>
  <c r="A352" i="96" s="1"/>
  <c r="A353" i="96" s="1"/>
  <c r="A354" i="96" s="1"/>
  <c r="A355" i="96" s="1"/>
  <c r="A356" i="96" s="1"/>
  <c r="A357" i="96" s="1"/>
  <c r="A358" i="96" s="1"/>
  <c r="A359" i="96" s="1"/>
  <c r="A360" i="96" s="1"/>
  <c r="A361" i="96" s="1"/>
  <c r="A362" i="96" s="1"/>
  <c r="A363" i="96" s="1"/>
  <c r="A364" i="96" s="1"/>
  <c r="A365" i="96" s="1"/>
  <c r="A366" i="96" s="1"/>
  <c r="A367" i="96" s="1"/>
  <c r="A368" i="96" s="1"/>
  <c r="A369" i="96" s="1"/>
  <c r="A377" i="96" s="1"/>
  <c r="A378" i="96" s="1"/>
  <c r="A379" i="96" s="1"/>
  <c r="A380" i="96" s="1"/>
  <c r="A381" i="96" s="1"/>
  <c r="A382" i="96" s="1"/>
  <c r="A383" i="96" s="1"/>
  <c r="A384" i="96" s="1"/>
  <c r="A385" i="96" s="1"/>
  <c r="A386" i="96" s="1"/>
  <c r="A387" i="96" s="1"/>
  <c r="A388" i="96" s="1"/>
  <c r="A389" i="96" s="1"/>
  <c r="A390" i="96" s="1"/>
  <c r="A391" i="96" s="1"/>
  <c r="A392" i="96" s="1"/>
  <c r="A393" i="96" s="1"/>
  <c r="A394" i="96" s="1"/>
  <c r="A395" i="96" s="1"/>
  <c r="A396" i="96" s="1"/>
  <c r="A397" i="96" s="1"/>
  <c r="A398" i="96" s="1"/>
  <c r="A399" i="96" s="1"/>
  <c r="A400" i="96" s="1"/>
  <c r="A401" i="96" s="1"/>
  <c r="A402" i="96" s="1"/>
  <c r="D14" i="96"/>
  <c r="D26" i="96" s="1"/>
  <c r="A14" i="96"/>
  <c r="D13" i="96"/>
  <c r="G200" i="95"/>
  <c r="G199" i="95"/>
  <c r="G192" i="95"/>
  <c r="G191" i="95"/>
  <c r="D169" i="95"/>
  <c r="E159" i="95"/>
  <c r="A155" i="95"/>
  <c r="A156" i="95" s="1"/>
  <c r="I154" i="95"/>
  <c r="F154" i="95"/>
  <c r="F156" i="95" s="1"/>
  <c r="D154" i="95"/>
  <c r="A154" i="95"/>
  <c r="I152" i="95"/>
  <c r="H152" i="95"/>
  <c r="G152" i="95"/>
  <c r="F152" i="95"/>
  <c r="E152" i="95"/>
  <c r="D152" i="95"/>
  <c r="A145" i="95"/>
  <c r="A146" i="95" s="1"/>
  <c r="A147" i="95" s="1"/>
  <c r="A148" i="95" s="1"/>
  <c r="A149" i="95" s="1"/>
  <c r="A144" i="95"/>
  <c r="I139" i="95"/>
  <c r="F139" i="95"/>
  <c r="D139" i="95"/>
  <c r="E136" i="95"/>
  <c r="H136" i="95" s="1"/>
  <c r="H139" i="95" s="1"/>
  <c r="H154" i="95" s="1"/>
  <c r="E125" i="95"/>
  <c r="D125" i="95"/>
  <c r="A121" i="95"/>
  <c r="A122" i="95" s="1"/>
  <c r="A123" i="95" s="1"/>
  <c r="A124" i="95" s="1"/>
  <c r="A125" i="95" s="1"/>
  <c r="A126" i="95" s="1"/>
  <c r="A127" i="95" s="1"/>
  <c r="A128" i="95" s="1"/>
  <c r="A129" i="95" s="1"/>
  <c r="A136" i="95" s="1"/>
  <c r="A137" i="95" s="1"/>
  <c r="A118" i="95"/>
  <c r="A119" i="95" s="1"/>
  <c r="A120" i="95" s="1"/>
  <c r="E109" i="95"/>
  <c r="I106" i="95"/>
  <c r="H106" i="95"/>
  <c r="A105" i="95"/>
  <c r="A106" i="95" s="1"/>
  <c r="I104" i="95"/>
  <c r="H104" i="95"/>
  <c r="G104" i="95"/>
  <c r="G106" i="95" s="1"/>
  <c r="F104" i="95"/>
  <c r="F106" i="95" s="1"/>
  <c r="E104" i="95"/>
  <c r="D104" i="95"/>
  <c r="A89" i="95"/>
  <c r="A90" i="95" s="1"/>
  <c r="A91" i="95" s="1"/>
  <c r="A92" i="95" s="1"/>
  <c r="A93" i="95" s="1"/>
  <c r="A94" i="95" s="1"/>
  <c r="A95" i="95" s="1"/>
  <c r="A96" i="95" s="1"/>
  <c r="A97" i="95" s="1"/>
  <c r="A98" i="95" s="1"/>
  <c r="A99" i="95" s="1"/>
  <c r="A100" i="95" s="1"/>
  <c r="A101" i="95" s="1"/>
  <c r="A88" i="95"/>
  <c r="I76" i="95"/>
  <c r="A76" i="95"/>
  <c r="I74" i="95"/>
  <c r="H74" i="95"/>
  <c r="G74" i="95"/>
  <c r="F74" i="95"/>
  <c r="E74" i="95"/>
  <c r="D74" i="95"/>
  <c r="A69" i="95"/>
  <c r="A70" i="95" s="1"/>
  <c r="A71" i="95" s="1"/>
  <c r="A68" i="95"/>
  <c r="F63" i="95"/>
  <c r="E53" i="95"/>
  <c r="D53" i="95"/>
  <c r="E51" i="95"/>
  <c r="D51" i="95"/>
  <c r="D63" i="95" s="1"/>
  <c r="E50" i="95"/>
  <c r="H50" i="95" s="1"/>
  <c r="E37" i="95"/>
  <c r="H37" i="95" s="1"/>
  <c r="E33" i="95"/>
  <c r="H33" i="95" s="1"/>
  <c r="A32" i="95"/>
  <c r="A33" i="95" s="1"/>
  <c r="A34" i="95" s="1"/>
  <c r="A35" i="95" s="1"/>
  <c r="A36" i="95" s="1"/>
  <c r="A37" i="95" s="1"/>
  <c r="A38" i="95" s="1"/>
  <c r="A39" i="95" s="1"/>
  <c r="A40" i="95" s="1"/>
  <c r="A41" i="95" s="1"/>
  <c r="A42" i="95" s="1"/>
  <c r="A43" i="95" s="1"/>
  <c r="A44" i="95" s="1"/>
  <c r="A45" i="95" s="1"/>
  <c r="A46" i="95" s="1"/>
  <c r="A47" i="95" s="1"/>
  <c r="A48" i="95" s="1"/>
  <c r="A49" i="95" s="1"/>
  <c r="A50" i="95" s="1"/>
  <c r="A51" i="95" s="1"/>
  <c r="A52" i="95" s="1"/>
  <c r="A53" i="95" s="1"/>
  <c r="A54" i="95" s="1"/>
  <c r="A61" i="95" s="1"/>
  <c r="A31" i="95"/>
  <c r="I63" i="95" s="1"/>
  <c r="D19" i="95"/>
  <c r="A13" i="95"/>
  <c r="A14" i="95" s="1"/>
  <c r="A12" i="95"/>
  <c r="A11" i="95"/>
  <c r="B170" i="94"/>
  <c r="D156" i="94"/>
  <c r="M129" i="94"/>
  <c r="L129" i="94"/>
  <c r="K129" i="94"/>
  <c r="J129" i="94"/>
  <c r="I129" i="94"/>
  <c r="H129" i="94"/>
  <c r="G129" i="94"/>
  <c r="F129" i="94"/>
  <c r="E129" i="94"/>
  <c r="D129" i="94"/>
  <c r="N129" i="94" s="1"/>
  <c r="F122" i="94"/>
  <c r="M122" i="94"/>
  <c r="L122" i="94"/>
  <c r="K122" i="94"/>
  <c r="J122" i="94"/>
  <c r="I122" i="94"/>
  <c r="H122" i="94"/>
  <c r="G122" i="94"/>
  <c r="E122" i="94"/>
  <c r="M121" i="94"/>
  <c r="L121" i="94"/>
  <c r="K121" i="94"/>
  <c r="J121" i="94"/>
  <c r="I121" i="94"/>
  <c r="H121" i="94"/>
  <c r="G121" i="94"/>
  <c r="F121" i="94"/>
  <c r="E121" i="94"/>
  <c r="M120" i="94"/>
  <c r="L120" i="94"/>
  <c r="K120" i="94"/>
  <c r="J120" i="94"/>
  <c r="I120" i="94"/>
  <c r="H120" i="94"/>
  <c r="G120" i="94"/>
  <c r="F120" i="94"/>
  <c r="E120" i="94"/>
  <c r="D120" i="94"/>
  <c r="M119" i="94"/>
  <c r="L119" i="94"/>
  <c r="K119" i="94"/>
  <c r="J119" i="94"/>
  <c r="I119" i="94"/>
  <c r="H119" i="94"/>
  <c r="G119" i="94"/>
  <c r="F119" i="94"/>
  <c r="D119" i="94"/>
  <c r="M118" i="94"/>
  <c r="L118" i="94"/>
  <c r="K118" i="94"/>
  <c r="J118" i="94"/>
  <c r="I118" i="94"/>
  <c r="H118" i="94"/>
  <c r="G118" i="94"/>
  <c r="F118" i="94"/>
  <c r="E118" i="94"/>
  <c r="M117" i="94"/>
  <c r="L117" i="94"/>
  <c r="K117" i="94"/>
  <c r="J117" i="94"/>
  <c r="I117" i="94"/>
  <c r="H117" i="94"/>
  <c r="G117" i="94"/>
  <c r="F117" i="94"/>
  <c r="E117" i="94"/>
  <c r="M116" i="94"/>
  <c r="L116" i="94"/>
  <c r="K116" i="94"/>
  <c r="J116" i="94"/>
  <c r="I116" i="94"/>
  <c r="H116" i="94"/>
  <c r="G116" i="94"/>
  <c r="F116" i="94"/>
  <c r="E116" i="94"/>
  <c r="D116" i="94"/>
  <c r="M115" i="94"/>
  <c r="L115" i="94"/>
  <c r="K115" i="94"/>
  <c r="J115" i="94"/>
  <c r="I115" i="94"/>
  <c r="H115" i="94"/>
  <c r="G115" i="94"/>
  <c r="F115" i="94"/>
  <c r="D115" i="94"/>
  <c r="M114" i="94"/>
  <c r="L114" i="94"/>
  <c r="K114" i="94"/>
  <c r="J114" i="94"/>
  <c r="I114" i="94"/>
  <c r="H114" i="94"/>
  <c r="G114" i="94"/>
  <c r="F114" i="94"/>
  <c r="E114" i="94"/>
  <c r="M113" i="94"/>
  <c r="L113" i="94"/>
  <c r="K113" i="94"/>
  <c r="J113" i="94"/>
  <c r="I113" i="94"/>
  <c r="H113" i="94"/>
  <c r="G113" i="94"/>
  <c r="F113" i="94"/>
  <c r="E113" i="94"/>
  <c r="M112" i="94"/>
  <c r="L112" i="94"/>
  <c r="K112" i="94"/>
  <c r="J112" i="94"/>
  <c r="I112" i="94"/>
  <c r="G112" i="94"/>
  <c r="F112" i="94"/>
  <c r="E112" i="94"/>
  <c r="D112" i="94"/>
  <c r="L111" i="94"/>
  <c r="K111" i="94"/>
  <c r="J111" i="94"/>
  <c r="I111" i="94"/>
  <c r="H111" i="94"/>
  <c r="G111" i="94"/>
  <c r="F111" i="94"/>
  <c r="D111" i="94"/>
  <c r="M83" i="94"/>
  <c r="L83" i="94"/>
  <c r="K83" i="94"/>
  <c r="J83" i="94"/>
  <c r="I83" i="94"/>
  <c r="H83" i="94"/>
  <c r="G83" i="94"/>
  <c r="F83" i="94"/>
  <c r="E83" i="94"/>
  <c r="D83" i="94"/>
  <c r="N82" i="94"/>
  <c r="N81" i="94"/>
  <c r="N80" i="94"/>
  <c r="N79" i="94"/>
  <c r="N78" i="94"/>
  <c r="N77" i="94"/>
  <c r="N76" i="94"/>
  <c r="N75" i="94"/>
  <c r="N74" i="94"/>
  <c r="N73" i="94"/>
  <c r="N72" i="94"/>
  <c r="N71" i="94"/>
  <c r="E45" i="94"/>
  <c r="F58" i="94" s="1"/>
  <c r="E44" i="94"/>
  <c r="A44" i="94"/>
  <c r="A45" i="94" s="1"/>
  <c r="F35" i="94"/>
  <c r="E35" i="94"/>
  <c r="D35" i="94"/>
  <c r="A35" i="94"/>
  <c r="G34" i="94"/>
  <c r="G33" i="94"/>
  <c r="G35" i="94" s="1"/>
  <c r="D25" i="94"/>
  <c r="N24" i="94"/>
  <c r="A13" i="94"/>
  <c r="A14" i="94" s="1"/>
  <c r="A15" i="94" s="1"/>
  <c r="A16" i="94" s="1"/>
  <c r="A17" i="94" s="1"/>
  <c r="A18" i="94" s="1"/>
  <c r="A19" i="94" s="1"/>
  <c r="A20" i="94" s="1"/>
  <c r="A21" i="94" s="1"/>
  <c r="A22" i="94" s="1"/>
  <c r="A23" i="94" s="1"/>
  <c r="A24" i="94" s="1"/>
  <c r="N12" i="94"/>
  <c r="K135" i="93"/>
  <c r="D135" i="93"/>
  <c r="C135" i="93"/>
  <c r="C139" i="93" s="1"/>
  <c r="D131" i="93"/>
  <c r="D139" i="93" s="1"/>
  <c r="C131" i="93"/>
  <c r="L125" i="93"/>
  <c r="K125" i="93"/>
  <c r="J125" i="93"/>
  <c r="I125" i="93"/>
  <c r="H125" i="93"/>
  <c r="G125" i="93"/>
  <c r="F125" i="93"/>
  <c r="E125" i="93"/>
  <c r="D125" i="93"/>
  <c r="C125" i="93"/>
  <c r="L124" i="93"/>
  <c r="K124" i="93"/>
  <c r="J124" i="93"/>
  <c r="I124" i="93"/>
  <c r="H124" i="93"/>
  <c r="G124" i="93"/>
  <c r="F124" i="93"/>
  <c r="E124" i="93"/>
  <c r="D124" i="93"/>
  <c r="C124" i="93"/>
  <c r="M124" i="93" s="1"/>
  <c r="L123" i="93"/>
  <c r="K123" i="93"/>
  <c r="J123" i="93"/>
  <c r="I123" i="93"/>
  <c r="H123" i="93"/>
  <c r="G123" i="93"/>
  <c r="F123" i="93"/>
  <c r="E123" i="93"/>
  <c r="D123" i="93"/>
  <c r="C123" i="93"/>
  <c r="L122" i="93"/>
  <c r="K122" i="93"/>
  <c r="J122" i="93"/>
  <c r="I122" i="93"/>
  <c r="H122" i="93"/>
  <c r="G122" i="93"/>
  <c r="F122" i="93"/>
  <c r="E122" i="93"/>
  <c r="D122" i="93"/>
  <c r="C122" i="93"/>
  <c r="L121" i="93"/>
  <c r="K121" i="93"/>
  <c r="J121" i="93"/>
  <c r="I121" i="93"/>
  <c r="H121" i="93"/>
  <c r="G121" i="93"/>
  <c r="F121" i="93"/>
  <c r="E121" i="93"/>
  <c r="D121" i="93"/>
  <c r="C121" i="93"/>
  <c r="L120" i="93"/>
  <c r="K120" i="93"/>
  <c r="J120" i="93"/>
  <c r="I120" i="93"/>
  <c r="H120" i="93"/>
  <c r="G120" i="93"/>
  <c r="F120" i="93"/>
  <c r="E120" i="93"/>
  <c r="D120" i="93"/>
  <c r="C120" i="93"/>
  <c r="M120" i="93" s="1"/>
  <c r="L119" i="93"/>
  <c r="K119" i="93"/>
  <c r="J119" i="93"/>
  <c r="I119" i="93"/>
  <c r="H119" i="93"/>
  <c r="G119" i="93"/>
  <c r="F119" i="93"/>
  <c r="E119" i="93"/>
  <c r="D119" i="93"/>
  <c r="C119" i="93"/>
  <c r="L118" i="93"/>
  <c r="K118" i="93"/>
  <c r="J118" i="93"/>
  <c r="I118" i="93"/>
  <c r="H118" i="93"/>
  <c r="G118" i="93"/>
  <c r="F118" i="93"/>
  <c r="E118" i="93"/>
  <c r="D118" i="93"/>
  <c r="C118" i="93"/>
  <c r="L117" i="93"/>
  <c r="L126" i="93" s="1"/>
  <c r="K117" i="93"/>
  <c r="J117" i="93"/>
  <c r="I117" i="93"/>
  <c r="H117" i="93"/>
  <c r="G117" i="93"/>
  <c r="F117" i="93"/>
  <c r="E117" i="93"/>
  <c r="D117" i="93"/>
  <c r="C117" i="93"/>
  <c r="L116" i="93"/>
  <c r="K116" i="93"/>
  <c r="J116" i="93"/>
  <c r="I116" i="93"/>
  <c r="H116" i="93"/>
  <c r="G116" i="93"/>
  <c r="F116" i="93"/>
  <c r="E116" i="93"/>
  <c r="D116" i="93"/>
  <c r="C116" i="93"/>
  <c r="M116" i="93" s="1"/>
  <c r="L115" i="93"/>
  <c r="K115" i="93"/>
  <c r="J115" i="93"/>
  <c r="I115" i="93"/>
  <c r="H115" i="93"/>
  <c r="G115" i="93"/>
  <c r="F115" i="93"/>
  <c r="E115" i="93"/>
  <c r="D115" i="93"/>
  <c r="C115" i="93"/>
  <c r="L114" i="93"/>
  <c r="K114" i="93"/>
  <c r="J114" i="93"/>
  <c r="I114" i="93"/>
  <c r="H114" i="93"/>
  <c r="G114" i="93"/>
  <c r="F114" i="93"/>
  <c r="E114" i="93"/>
  <c r="E126" i="93" s="1"/>
  <c r="D114" i="93"/>
  <c r="C114" i="93"/>
  <c r="L106" i="93"/>
  <c r="L135" i="93" s="1"/>
  <c r="K106" i="93"/>
  <c r="J106" i="93"/>
  <c r="J135" i="93" s="1"/>
  <c r="I106" i="93"/>
  <c r="I135" i="93" s="1"/>
  <c r="H106" i="93"/>
  <c r="H135" i="93" s="1"/>
  <c r="G106" i="93"/>
  <c r="G135" i="93" s="1"/>
  <c r="F106" i="93"/>
  <c r="F135" i="93" s="1"/>
  <c r="E106" i="93"/>
  <c r="E135" i="93" s="1"/>
  <c r="D106" i="93"/>
  <c r="C106" i="93"/>
  <c r="M105" i="93"/>
  <c r="M104" i="93"/>
  <c r="M103" i="93"/>
  <c r="M102" i="93"/>
  <c r="M101" i="93"/>
  <c r="M106" i="93" s="1"/>
  <c r="M135" i="93" s="1"/>
  <c r="M100" i="93"/>
  <c r="M99" i="93"/>
  <c r="M98" i="93"/>
  <c r="M97" i="93"/>
  <c r="M96" i="93"/>
  <c r="M95" i="93"/>
  <c r="M94" i="93"/>
  <c r="L86" i="93"/>
  <c r="K86" i="93"/>
  <c r="J86" i="93"/>
  <c r="I86" i="93"/>
  <c r="H86" i="93"/>
  <c r="G86" i="93"/>
  <c r="F86" i="93"/>
  <c r="E86" i="93"/>
  <c r="D86" i="93"/>
  <c r="C86" i="93"/>
  <c r="M85" i="93"/>
  <c r="M84" i="93"/>
  <c r="M83" i="93"/>
  <c r="M82" i="93"/>
  <c r="M81" i="93"/>
  <c r="M80" i="93"/>
  <c r="M79" i="93"/>
  <c r="M78" i="93"/>
  <c r="M77" i="93"/>
  <c r="M76" i="93"/>
  <c r="M75" i="93"/>
  <c r="M74" i="93"/>
  <c r="M86" i="93" s="1"/>
  <c r="H53" i="93"/>
  <c r="H52" i="93"/>
  <c r="E36" i="93"/>
  <c r="D36" i="93"/>
  <c r="C36" i="93"/>
  <c r="F35" i="93"/>
  <c r="F36" i="93" s="1"/>
  <c r="F34" i="93"/>
  <c r="L131" i="93"/>
  <c r="L139" i="93" s="1"/>
  <c r="K131" i="93"/>
  <c r="K139" i="93" s="1"/>
  <c r="J131" i="93"/>
  <c r="J139" i="93" s="1"/>
  <c r="I131" i="93"/>
  <c r="H131" i="93"/>
  <c r="G131" i="93"/>
  <c r="G139" i="93" s="1"/>
  <c r="F131" i="93"/>
  <c r="F139" i="93" s="1"/>
  <c r="E131" i="93"/>
  <c r="A13" i="93"/>
  <c r="A14" i="93" s="1"/>
  <c r="A15" i="93" s="1"/>
  <c r="A16" i="93" s="1"/>
  <c r="A17" i="93" s="1"/>
  <c r="A18" i="93" s="1"/>
  <c r="A19" i="93" s="1"/>
  <c r="A20" i="93" s="1"/>
  <c r="A21" i="93" s="1"/>
  <c r="A22" i="93" s="1"/>
  <c r="A23" i="93" s="1"/>
  <c r="A12" i="93"/>
  <c r="M11" i="93"/>
  <c r="F103" i="92"/>
  <c r="F98" i="92"/>
  <c r="J86" i="92"/>
  <c r="E87" i="92"/>
  <c r="H42" i="92"/>
  <c r="H41" i="92"/>
  <c r="A41" i="92"/>
  <c r="A42" i="92" s="1"/>
  <c r="A43" i="92" s="1"/>
  <c r="A44" i="92" s="1"/>
  <c r="A45" i="92" s="1"/>
  <c r="A48" i="92" s="1"/>
  <c r="A34" i="92"/>
  <c r="A38" i="92" s="1"/>
  <c r="H57" i="92" s="1"/>
  <c r="H33" i="92"/>
  <c r="A33" i="92"/>
  <c r="H34" i="92" s="1"/>
  <c r="A8" i="92"/>
  <c r="A9" i="92" s="1"/>
  <c r="A12" i="92" s="1"/>
  <c r="A7" i="92"/>
  <c r="D13" i="90"/>
  <c r="A14" i="90"/>
  <c r="D14" i="90"/>
  <c r="A15" i="90"/>
  <c r="A16" i="90" s="1"/>
  <c r="A17" i="90" s="1"/>
  <c r="A18" i="90" s="1"/>
  <c r="A19" i="90" s="1"/>
  <c r="A20" i="90" s="1"/>
  <c r="A21" i="90" s="1"/>
  <c r="A22" i="90" s="1"/>
  <c r="A23" i="90" s="1"/>
  <c r="A24" i="90" s="1"/>
  <c r="A25" i="90" s="1"/>
  <c r="A26" i="90" s="1"/>
  <c r="A33" i="90" s="1"/>
  <c r="A34" i="90" s="1"/>
  <c r="A35" i="90" s="1"/>
  <c r="A36" i="90" s="1"/>
  <c r="A37" i="90" s="1"/>
  <c r="A38" i="90" s="1"/>
  <c r="A39" i="90" s="1"/>
  <c r="A40" i="90" s="1"/>
  <c r="A41" i="90" s="1"/>
  <c r="A42" i="90" s="1"/>
  <c r="A43" i="90" s="1"/>
  <c r="A44" i="90" s="1"/>
  <c r="A45" i="90" s="1"/>
  <c r="A46" i="90" s="1"/>
  <c r="A54" i="90" s="1"/>
  <c r="A55" i="90" s="1"/>
  <c r="A56" i="90" s="1"/>
  <c r="A57" i="90" s="1"/>
  <c r="A58" i="90" s="1"/>
  <c r="A59" i="90" s="1"/>
  <c r="A60" i="90" s="1"/>
  <c r="A61" i="90" s="1"/>
  <c r="A62" i="90" s="1"/>
  <c r="A63" i="90" s="1"/>
  <c r="A64" i="90" s="1"/>
  <c r="A65" i="90" s="1"/>
  <c r="A66" i="90" s="1"/>
  <c r="A67" i="90" s="1"/>
  <c r="A68" i="90" s="1"/>
  <c r="A69" i="90" s="1"/>
  <c r="A70" i="90" s="1"/>
  <c r="A71" i="90" s="1"/>
  <c r="A72" i="90" s="1"/>
  <c r="A73" i="90" s="1"/>
  <c r="A74" i="90" s="1"/>
  <c r="A75" i="90" s="1"/>
  <c r="A76" i="90" s="1"/>
  <c r="A77" i="90" s="1"/>
  <c r="A78" i="90" s="1"/>
  <c r="A79" i="90" s="1"/>
  <c r="A88" i="90" s="1"/>
  <c r="A89" i="90" s="1"/>
  <c r="A90" i="90" s="1"/>
  <c r="A91" i="90" s="1"/>
  <c r="A92" i="90" s="1"/>
  <c r="A93" i="90" s="1"/>
  <c r="A94" i="90" s="1"/>
  <c r="A95" i="90" s="1"/>
  <c r="A96" i="90" s="1"/>
  <c r="A97" i="90" s="1"/>
  <c r="A98" i="90" s="1"/>
  <c r="A99" i="90" s="1"/>
  <c r="A100" i="90" s="1"/>
  <c r="A101" i="90" s="1"/>
  <c r="A102" i="90" s="1"/>
  <c r="A103" i="90" s="1"/>
  <c r="A104" i="90" s="1"/>
  <c r="A105" i="90" s="1"/>
  <c r="A106" i="90" s="1"/>
  <c r="A107" i="90" s="1"/>
  <c r="A108" i="90" s="1"/>
  <c r="A109" i="90" s="1"/>
  <c r="A110" i="90" s="1"/>
  <c r="A111" i="90" s="1"/>
  <c r="A112" i="90" s="1"/>
  <c r="A113" i="90" s="1"/>
  <c r="A121" i="90" s="1"/>
  <c r="A122" i="90" s="1"/>
  <c r="A123" i="90" s="1"/>
  <c r="A124" i="90" s="1"/>
  <c r="A125" i="90" s="1"/>
  <c r="A126" i="90" s="1"/>
  <c r="A127" i="90" s="1"/>
  <c r="A128" i="90" s="1"/>
  <c r="A129" i="90" s="1"/>
  <c r="A130" i="90" s="1"/>
  <c r="A131" i="90" s="1"/>
  <c r="A132" i="90" s="1"/>
  <c r="A133" i="90" s="1"/>
  <c r="A134" i="90" s="1"/>
  <c r="A135" i="90" s="1"/>
  <c r="A136" i="90" s="1"/>
  <c r="A137" i="90" s="1"/>
  <c r="A138" i="90" s="1"/>
  <c r="A139" i="90" s="1"/>
  <c r="A140" i="90" s="1"/>
  <c r="A141" i="90" s="1"/>
  <c r="A142" i="90" s="1"/>
  <c r="A143" i="90" s="1"/>
  <c r="A144" i="90" s="1"/>
  <c r="A145" i="90" s="1"/>
  <c r="A146" i="90" s="1"/>
  <c r="A152" i="90" s="1"/>
  <c r="A153" i="90" s="1"/>
  <c r="A154" i="90" s="1"/>
  <c r="A155" i="90" s="1"/>
  <c r="A156" i="90" s="1"/>
  <c r="A157" i="90" s="1"/>
  <c r="A158" i="90" s="1"/>
  <c r="A159" i="90" s="1"/>
  <c r="A160" i="90" s="1"/>
  <c r="A161" i="90" s="1"/>
  <c r="A162" i="90" s="1"/>
  <c r="A163" i="90" s="1"/>
  <c r="A164" i="90" s="1"/>
  <c r="A165" i="90" s="1"/>
  <c r="A166" i="90" s="1"/>
  <c r="A167" i="90" s="1"/>
  <c r="A168" i="90" s="1"/>
  <c r="A169" i="90" s="1"/>
  <c r="A170" i="90" s="1"/>
  <c r="A171" i="90" s="1"/>
  <c r="A172" i="90" s="1"/>
  <c r="A173" i="90" s="1"/>
  <c r="A174" i="90" s="1"/>
  <c r="A175" i="90" s="1"/>
  <c r="A176" i="90" s="1"/>
  <c r="A177" i="90" s="1"/>
  <c r="A185" i="90" s="1"/>
  <c r="A186" i="90" s="1"/>
  <c r="A187" i="90" s="1"/>
  <c r="A188" i="90" s="1"/>
  <c r="A189" i="90" s="1"/>
  <c r="A190" i="90" s="1"/>
  <c r="A191" i="90" s="1"/>
  <c r="A192" i="90" s="1"/>
  <c r="A193" i="90" s="1"/>
  <c r="A194" i="90" s="1"/>
  <c r="A195" i="90" s="1"/>
  <c r="A196" i="90" s="1"/>
  <c r="A197" i="90" s="1"/>
  <c r="A198" i="90" s="1"/>
  <c r="A199" i="90" s="1"/>
  <c r="A200" i="90" s="1"/>
  <c r="A201" i="90" s="1"/>
  <c r="A202" i="90" s="1"/>
  <c r="A203" i="90" s="1"/>
  <c r="A204" i="90" s="1"/>
  <c r="A205" i="90" s="1"/>
  <c r="A206" i="90" s="1"/>
  <c r="A207" i="90" s="1"/>
  <c r="A208" i="90" s="1"/>
  <c r="A209" i="90" s="1"/>
  <c r="A210" i="90" s="1"/>
  <c r="A216" i="90" s="1"/>
  <c r="A217" i="90" s="1"/>
  <c r="A218" i="90" s="1"/>
  <c r="A219" i="90" s="1"/>
  <c r="A220" i="90" s="1"/>
  <c r="A221" i="90" s="1"/>
  <c r="A222" i="90" s="1"/>
  <c r="A223" i="90" s="1"/>
  <c r="A224" i="90" s="1"/>
  <c r="A225" i="90" s="1"/>
  <c r="A226" i="90" s="1"/>
  <c r="A227" i="90" s="1"/>
  <c r="A228" i="90" s="1"/>
  <c r="A229" i="90" s="1"/>
  <c r="A230" i="90" s="1"/>
  <c r="A231" i="90" s="1"/>
  <c r="A232" i="90" s="1"/>
  <c r="A233" i="90" s="1"/>
  <c r="A234" i="90" s="1"/>
  <c r="A235" i="90" s="1"/>
  <c r="A236" i="90" s="1"/>
  <c r="A237" i="90" s="1"/>
  <c r="A238" i="90" s="1"/>
  <c r="A239" i="90" s="1"/>
  <c r="A240" i="90" s="1"/>
  <c r="A241" i="90" s="1"/>
  <c r="A249" i="90" s="1"/>
  <c r="A250" i="90" s="1"/>
  <c r="A251" i="90" s="1"/>
  <c r="A252" i="90" s="1"/>
  <c r="A253" i="90" s="1"/>
  <c r="A254" i="90" s="1"/>
  <c r="A255" i="90" s="1"/>
  <c r="A256" i="90" s="1"/>
  <c r="A257" i="90" s="1"/>
  <c r="A258" i="90" s="1"/>
  <c r="A259" i="90" s="1"/>
  <c r="A260" i="90" s="1"/>
  <c r="A261" i="90" s="1"/>
  <c r="A262" i="90" s="1"/>
  <c r="A263" i="90" s="1"/>
  <c r="A264" i="90" s="1"/>
  <c r="A265" i="90" s="1"/>
  <c r="A266" i="90" s="1"/>
  <c r="A267" i="90" s="1"/>
  <c r="A268" i="90" s="1"/>
  <c r="A269" i="90" s="1"/>
  <c r="A270" i="90" s="1"/>
  <c r="A271" i="90" s="1"/>
  <c r="A272" i="90" s="1"/>
  <c r="A273" i="90" s="1"/>
  <c r="A274" i="90" s="1"/>
  <c r="A280" i="90" s="1"/>
  <c r="A281" i="90" s="1"/>
  <c r="A282" i="90" s="1"/>
  <c r="A283" i="90" s="1"/>
  <c r="A284" i="90" s="1"/>
  <c r="A285" i="90" s="1"/>
  <c r="A286" i="90" s="1"/>
  <c r="A287" i="90" s="1"/>
  <c r="A288" i="90" s="1"/>
  <c r="A289" i="90" s="1"/>
  <c r="A290" i="90" s="1"/>
  <c r="A291" i="90" s="1"/>
  <c r="A292" i="90" s="1"/>
  <c r="A293" i="90" s="1"/>
  <c r="A294" i="90" s="1"/>
  <c r="A295" i="90" s="1"/>
  <c r="A296" i="90" s="1"/>
  <c r="A297" i="90" s="1"/>
  <c r="A298" i="90" s="1"/>
  <c r="A299" i="90" s="1"/>
  <c r="A300" i="90" s="1"/>
  <c r="A301" i="90" s="1"/>
  <c r="A302" i="90" s="1"/>
  <c r="A303" i="90" s="1"/>
  <c r="A304" i="90" s="1"/>
  <c r="A305" i="90" s="1"/>
  <c r="A313" i="90" s="1"/>
  <c r="A314" i="90" s="1"/>
  <c r="A315" i="90" s="1"/>
  <c r="A316" i="90" s="1"/>
  <c r="A317" i="90" s="1"/>
  <c r="A318" i="90" s="1"/>
  <c r="A319" i="90" s="1"/>
  <c r="A320" i="90" s="1"/>
  <c r="A321" i="90" s="1"/>
  <c r="A322" i="90" s="1"/>
  <c r="A323" i="90" s="1"/>
  <c r="A324" i="90" s="1"/>
  <c r="A325" i="90" s="1"/>
  <c r="A326" i="90" s="1"/>
  <c r="A327" i="90" s="1"/>
  <c r="A328" i="90" s="1"/>
  <c r="A329" i="90" s="1"/>
  <c r="A330" i="90" s="1"/>
  <c r="A331" i="90" s="1"/>
  <c r="A332" i="90" s="1"/>
  <c r="A333" i="90" s="1"/>
  <c r="A334" i="90" s="1"/>
  <c r="A335" i="90" s="1"/>
  <c r="A336" i="90" s="1"/>
  <c r="A337" i="90" s="1"/>
  <c r="A338" i="90" s="1"/>
  <c r="A344" i="90" s="1"/>
  <c r="A345" i="90" s="1"/>
  <c r="A346" i="90" s="1"/>
  <c r="A347" i="90" s="1"/>
  <c r="A348" i="90" s="1"/>
  <c r="A349" i="90" s="1"/>
  <c r="A350" i="90" s="1"/>
  <c r="A351" i="90" s="1"/>
  <c r="A352" i="90" s="1"/>
  <c r="A353" i="90" s="1"/>
  <c r="A354" i="90" s="1"/>
  <c r="A355" i="90" s="1"/>
  <c r="A356" i="90" s="1"/>
  <c r="A357" i="90" s="1"/>
  <c r="A358" i="90" s="1"/>
  <c r="A359" i="90" s="1"/>
  <c r="A360" i="90" s="1"/>
  <c r="A361" i="90" s="1"/>
  <c r="A362" i="90" s="1"/>
  <c r="A363" i="90" s="1"/>
  <c r="A364" i="90" s="1"/>
  <c r="A365" i="90" s="1"/>
  <c r="A366" i="90" s="1"/>
  <c r="A367" i="90" s="1"/>
  <c r="A368" i="90" s="1"/>
  <c r="A369" i="90" s="1"/>
  <c r="A377" i="90" s="1"/>
  <c r="A378" i="90" s="1"/>
  <c r="A379" i="90" s="1"/>
  <c r="A380" i="90" s="1"/>
  <c r="A381" i="90" s="1"/>
  <c r="A382" i="90" s="1"/>
  <c r="A383" i="90" s="1"/>
  <c r="A384" i="90" s="1"/>
  <c r="A385" i="90" s="1"/>
  <c r="A386" i="90" s="1"/>
  <c r="A387" i="90" s="1"/>
  <c r="A388" i="90" s="1"/>
  <c r="A389" i="90" s="1"/>
  <c r="A390" i="90" s="1"/>
  <c r="A391" i="90" s="1"/>
  <c r="A392" i="90" s="1"/>
  <c r="A393" i="90" s="1"/>
  <c r="A394" i="90" s="1"/>
  <c r="A395" i="90" s="1"/>
  <c r="A396" i="90" s="1"/>
  <c r="A397" i="90" s="1"/>
  <c r="A398" i="90" s="1"/>
  <c r="A399" i="90" s="1"/>
  <c r="A400" i="90" s="1"/>
  <c r="A401" i="90" s="1"/>
  <c r="A402" i="90" s="1"/>
  <c r="D15" i="90"/>
  <c r="D16" i="90"/>
  <c r="D17" i="90"/>
  <c r="D18" i="90"/>
  <c r="D19" i="90"/>
  <c r="D20" i="90"/>
  <c r="D21" i="90"/>
  <c r="D22" i="90"/>
  <c r="D23" i="90"/>
  <c r="D24" i="90"/>
  <c r="D25" i="90"/>
  <c r="D26" i="90"/>
  <c r="E26" i="90"/>
  <c r="F26" i="90"/>
  <c r="G26" i="90"/>
  <c r="H26" i="90"/>
  <c r="I26" i="90"/>
  <c r="D46" i="90"/>
  <c r="E46" i="90"/>
  <c r="F46" i="90"/>
  <c r="G46" i="90"/>
  <c r="J54" i="90"/>
  <c r="D55" i="90"/>
  <c r="G55" i="90"/>
  <c r="H55" i="90"/>
  <c r="D56" i="90"/>
  <c r="G56" i="90"/>
  <c r="H56" i="90"/>
  <c r="D57" i="90"/>
  <c r="G57" i="90"/>
  <c r="H57" i="90"/>
  <c r="D58" i="90"/>
  <c r="G58" i="90"/>
  <c r="H58" i="90"/>
  <c r="D59" i="90"/>
  <c r="G59" i="90"/>
  <c r="H59" i="90"/>
  <c r="D60" i="90"/>
  <c r="G60" i="90"/>
  <c r="H60" i="90"/>
  <c r="D61" i="90"/>
  <c r="G61" i="90"/>
  <c r="H61" i="90"/>
  <c r="D62" i="90"/>
  <c r="G62" i="90"/>
  <c r="H62" i="90"/>
  <c r="D63" i="90"/>
  <c r="G63" i="90"/>
  <c r="H63" i="90"/>
  <c r="D64" i="90"/>
  <c r="G64" i="90"/>
  <c r="H64" i="90"/>
  <c r="D65" i="90"/>
  <c r="G65" i="90"/>
  <c r="H65" i="90"/>
  <c r="D66" i="90"/>
  <c r="G66" i="90"/>
  <c r="H66" i="90"/>
  <c r="D67" i="90"/>
  <c r="G67" i="90"/>
  <c r="H67" i="90"/>
  <c r="D68" i="90"/>
  <c r="G68" i="90"/>
  <c r="H68" i="90"/>
  <c r="D69" i="90"/>
  <c r="G69" i="90"/>
  <c r="H69" i="90"/>
  <c r="D70" i="90"/>
  <c r="G70" i="90"/>
  <c r="H70" i="90"/>
  <c r="D71" i="90"/>
  <c r="G71" i="90"/>
  <c r="H71" i="90"/>
  <c r="D72" i="90"/>
  <c r="G72" i="90"/>
  <c r="H72" i="90"/>
  <c r="D73" i="90"/>
  <c r="G73" i="90"/>
  <c r="H73" i="90"/>
  <c r="D74" i="90"/>
  <c r="G74" i="90"/>
  <c r="H74" i="90"/>
  <c r="D75" i="90"/>
  <c r="G75" i="90"/>
  <c r="H75" i="90"/>
  <c r="D76" i="90"/>
  <c r="G76" i="90"/>
  <c r="H76" i="90"/>
  <c r="D77" i="90"/>
  <c r="G77" i="90"/>
  <c r="H77" i="90"/>
  <c r="D78" i="90"/>
  <c r="G78" i="90"/>
  <c r="H78" i="90"/>
  <c r="G85" i="90"/>
  <c r="D86" i="90"/>
  <c r="E86" i="90"/>
  <c r="F86" i="90"/>
  <c r="G86" i="90"/>
  <c r="H86" i="90"/>
  <c r="I86" i="90"/>
  <c r="J86" i="90"/>
  <c r="K86" i="90"/>
  <c r="D87" i="90"/>
  <c r="E87" i="90"/>
  <c r="F87" i="90"/>
  <c r="G87" i="90"/>
  <c r="H87" i="90"/>
  <c r="I87" i="90"/>
  <c r="J87" i="90"/>
  <c r="K87" i="90"/>
  <c r="J88" i="90"/>
  <c r="F89" i="90"/>
  <c r="F90" i="90"/>
  <c r="F91" i="90"/>
  <c r="F93" i="90"/>
  <c r="F97" i="90"/>
  <c r="F98" i="90"/>
  <c r="F99" i="90"/>
  <c r="F101" i="90"/>
  <c r="F105" i="90"/>
  <c r="F106" i="90"/>
  <c r="F107" i="90"/>
  <c r="G118" i="90"/>
  <c r="D119" i="90"/>
  <c r="E119" i="90"/>
  <c r="F119" i="90"/>
  <c r="G119" i="90"/>
  <c r="H119" i="90"/>
  <c r="I119" i="90"/>
  <c r="J119" i="90"/>
  <c r="K119" i="90"/>
  <c r="D120" i="90"/>
  <c r="E120" i="90"/>
  <c r="F120" i="90"/>
  <c r="G120" i="90"/>
  <c r="H120" i="90"/>
  <c r="I120" i="90"/>
  <c r="J120" i="90"/>
  <c r="K120" i="90"/>
  <c r="J121" i="90"/>
  <c r="F122" i="90"/>
  <c r="F123" i="90"/>
  <c r="F124" i="90"/>
  <c r="F125" i="90"/>
  <c r="F126" i="90"/>
  <c r="F127" i="90"/>
  <c r="F128" i="90"/>
  <c r="F129" i="90"/>
  <c r="F130" i="90"/>
  <c r="F131" i="90"/>
  <c r="F132" i="90"/>
  <c r="F133" i="90"/>
  <c r="F134" i="90"/>
  <c r="F135" i="90"/>
  <c r="F136" i="90"/>
  <c r="F137" i="90"/>
  <c r="F138" i="90"/>
  <c r="F139" i="90"/>
  <c r="F140" i="90"/>
  <c r="F141" i="90"/>
  <c r="F142" i="90"/>
  <c r="F143" i="90"/>
  <c r="F144" i="90"/>
  <c r="F145" i="90"/>
  <c r="G149" i="90"/>
  <c r="D150" i="90"/>
  <c r="E150" i="90"/>
  <c r="F150" i="90"/>
  <c r="G150" i="90"/>
  <c r="H150" i="90"/>
  <c r="I150" i="90"/>
  <c r="J150" i="90"/>
  <c r="K150" i="90"/>
  <c r="D151" i="90"/>
  <c r="E151" i="90"/>
  <c r="F151" i="90"/>
  <c r="G151" i="90"/>
  <c r="H151" i="90"/>
  <c r="I151" i="90"/>
  <c r="J151" i="90"/>
  <c r="K151" i="90"/>
  <c r="J152" i="90"/>
  <c r="F153" i="90"/>
  <c r="F154" i="90"/>
  <c r="F155" i="90"/>
  <c r="F156" i="90"/>
  <c r="F157" i="90"/>
  <c r="F158" i="90"/>
  <c r="F159" i="90"/>
  <c r="F160" i="90"/>
  <c r="F161" i="90"/>
  <c r="F162" i="90"/>
  <c r="F163" i="90"/>
  <c r="F164" i="90"/>
  <c r="F165" i="90"/>
  <c r="F166" i="90"/>
  <c r="F167" i="90"/>
  <c r="F168" i="90"/>
  <c r="F169" i="90"/>
  <c r="F170" i="90"/>
  <c r="F171" i="90"/>
  <c r="F172" i="90"/>
  <c r="F173" i="90"/>
  <c r="F174" i="90"/>
  <c r="F175" i="90"/>
  <c r="F176" i="90"/>
  <c r="G182" i="90"/>
  <c r="D183" i="90"/>
  <c r="E183" i="90"/>
  <c r="F183" i="90"/>
  <c r="G183" i="90"/>
  <c r="H183" i="90"/>
  <c r="I183" i="90"/>
  <c r="J183" i="90"/>
  <c r="K183" i="90"/>
  <c r="D184" i="90"/>
  <c r="E184" i="90"/>
  <c r="F184" i="90"/>
  <c r="G184" i="90"/>
  <c r="H184" i="90"/>
  <c r="I184" i="90"/>
  <c r="J184" i="90"/>
  <c r="K184" i="90"/>
  <c r="J185" i="90"/>
  <c r="F186" i="90"/>
  <c r="F187" i="90"/>
  <c r="F188" i="90"/>
  <c r="F189" i="90"/>
  <c r="F190" i="90"/>
  <c r="F191" i="90"/>
  <c r="F192" i="90"/>
  <c r="F193" i="90"/>
  <c r="F194" i="90"/>
  <c r="F195" i="90"/>
  <c r="F196" i="90"/>
  <c r="F197" i="90"/>
  <c r="F198" i="90"/>
  <c r="F199" i="90"/>
  <c r="F200" i="90"/>
  <c r="F201" i="90"/>
  <c r="F202" i="90"/>
  <c r="F203" i="90"/>
  <c r="F204" i="90"/>
  <c r="F205" i="90"/>
  <c r="F206" i="90"/>
  <c r="F207" i="90"/>
  <c r="F208" i="90"/>
  <c r="F209" i="90"/>
  <c r="G213" i="90"/>
  <c r="D214" i="90"/>
  <c r="E214" i="90"/>
  <c r="F214" i="90"/>
  <c r="G214" i="90"/>
  <c r="H214" i="90"/>
  <c r="I214" i="90"/>
  <c r="J214" i="90"/>
  <c r="K214" i="90"/>
  <c r="D215" i="90"/>
  <c r="E215" i="90"/>
  <c r="F215" i="90"/>
  <c r="G215" i="90"/>
  <c r="H215" i="90"/>
  <c r="I215" i="90"/>
  <c r="J215" i="90"/>
  <c r="K215" i="90"/>
  <c r="J216" i="90"/>
  <c r="F217" i="90"/>
  <c r="F218" i="90"/>
  <c r="F219" i="90"/>
  <c r="F220" i="90"/>
  <c r="F221" i="90"/>
  <c r="F222" i="90"/>
  <c r="F223" i="90"/>
  <c r="F224" i="90"/>
  <c r="F225" i="90"/>
  <c r="F226" i="90"/>
  <c r="F227" i="90"/>
  <c r="F228" i="90"/>
  <c r="F229" i="90"/>
  <c r="F230" i="90"/>
  <c r="F231" i="90"/>
  <c r="F232" i="90"/>
  <c r="F233" i="90"/>
  <c r="F234" i="90"/>
  <c r="F235" i="90"/>
  <c r="F236" i="90"/>
  <c r="F237" i="90"/>
  <c r="F238" i="90"/>
  <c r="F239" i="90"/>
  <c r="F240" i="90"/>
  <c r="D247" i="90"/>
  <c r="E247" i="90"/>
  <c r="F247" i="90"/>
  <c r="H247" i="90"/>
  <c r="I247" i="90"/>
  <c r="J247" i="90"/>
  <c r="K247" i="90"/>
  <c r="D248" i="90"/>
  <c r="E248" i="90"/>
  <c r="F248" i="90"/>
  <c r="H248" i="90"/>
  <c r="I248" i="90"/>
  <c r="J248" i="90"/>
  <c r="K248" i="90"/>
  <c r="J249" i="90"/>
  <c r="F250" i="90"/>
  <c r="F251" i="90"/>
  <c r="F252" i="90"/>
  <c r="F253" i="90"/>
  <c r="F254" i="90"/>
  <c r="F255" i="90"/>
  <c r="F256" i="90"/>
  <c r="F257" i="90"/>
  <c r="F258" i="90"/>
  <c r="F259" i="90"/>
  <c r="F260" i="90"/>
  <c r="F261" i="90"/>
  <c r="F262" i="90"/>
  <c r="F263" i="90"/>
  <c r="F264" i="90"/>
  <c r="F265" i="90"/>
  <c r="F266" i="90"/>
  <c r="F267" i="90"/>
  <c r="F268" i="90"/>
  <c r="F269" i="90"/>
  <c r="F270" i="90"/>
  <c r="F271" i="90"/>
  <c r="F272" i="90"/>
  <c r="F273" i="90"/>
  <c r="G277" i="90"/>
  <c r="D278" i="90"/>
  <c r="E278" i="90"/>
  <c r="F278" i="90"/>
  <c r="G278" i="90"/>
  <c r="H278" i="90"/>
  <c r="I278" i="90"/>
  <c r="J278" i="90"/>
  <c r="K278" i="90"/>
  <c r="D279" i="90"/>
  <c r="E279" i="90"/>
  <c r="F279" i="90"/>
  <c r="G279" i="90"/>
  <c r="H279" i="90"/>
  <c r="I279" i="90"/>
  <c r="J279" i="90"/>
  <c r="K279" i="90"/>
  <c r="J280" i="90"/>
  <c r="F281" i="90"/>
  <c r="F282" i="90"/>
  <c r="F283" i="90"/>
  <c r="F284" i="90"/>
  <c r="F285" i="90"/>
  <c r="F286" i="90"/>
  <c r="F287" i="90"/>
  <c r="F288" i="90"/>
  <c r="F289" i="90"/>
  <c r="F290" i="90"/>
  <c r="F291" i="90"/>
  <c r="F292" i="90"/>
  <c r="F293" i="90"/>
  <c r="F294" i="90"/>
  <c r="F295" i="90"/>
  <c r="F296" i="90"/>
  <c r="F297" i="90"/>
  <c r="F298" i="90"/>
  <c r="F299" i="90"/>
  <c r="F300" i="90"/>
  <c r="F301" i="90"/>
  <c r="F302" i="90"/>
  <c r="F303" i="90"/>
  <c r="F304" i="90"/>
  <c r="G310" i="90"/>
  <c r="D311" i="90"/>
  <c r="E311" i="90"/>
  <c r="F311" i="90"/>
  <c r="G311" i="90"/>
  <c r="H311" i="90"/>
  <c r="I311" i="90"/>
  <c r="J311" i="90"/>
  <c r="K311" i="90"/>
  <c r="D312" i="90"/>
  <c r="E312" i="90"/>
  <c r="F312" i="90"/>
  <c r="G312" i="90"/>
  <c r="H312" i="90"/>
  <c r="I312" i="90"/>
  <c r="J312" i="90"/>
  <c r="K312" i="90"/>
  <c r="J313" i="90"/>
  <c r="F314" i="90"/>
  <c r="F315" i="90"/>
  <c r="F316" i="90"/>
  <c r="F317" i="90"/>
  <c r="F318" i="90"/>
  <c r="F319" i="90"/>
  <c r="F320" i="90"/>
  <c r="F321" i="90"/>
  <c r="F322" i="90"/>
  <c r="F323" i="90"/>
  <c r="F324" i="90"/>
  <c r="F325" i="90"/>
  <c r="F326" i="90"/>
  <c r="F327" i="90"/>
  <c r="F328" i="90"/>
  <c r="F329" i="90"/>
  <c r="F330" i="90"/>
  <c r="F331" i="90"/>
  <c r="F332" i="90"/>
  <c r="F333" i="90"/>
  <c r="F334" i="90"/>
  <c r="F335" i="90"/>
  <c r="F336" i="90"/>
  <c r="F337" i="90"/>
  <c r="G341" i="90"/>
  <c r="D342" i="90"/>
  <c r="E342" i="90"/>
  <c r="F342" i="90"/>
  <c r="G342" i="90"/>
  <c r="H342" i="90"/>
  <c r="I342" i="90"/>
  <c r="J342" i="90"/>
  <c r="K342" i="90"/>
  <c r="D343" i="90"/>
  <c r="E343" i="90"/>
  <c r="F343" i="90"/>
  <c r="G343" i="90"/>
  <c r="H343" i="90"/>
  <c r="I343" i="90"/>
  <c r="J343" i="90"/>
  <c r="K343" i="90"/>
  <c r="J344" i="90"/>
  <c r="F345" i="90"/>
  <c r="F346" i="90"/>
  <c r="F347" i="90"/>
  <c r="F348" i="90"/>
  <c r="F349" i="90"/>
  <c r="F350" i="90"/>
  <c r="F351" i="90"/>
  <c r="F352" i="90"/>
  <c r="F353" i="90"/>
  <c r="F354" i="90"/>
  <c r="F355" i="90"/>
  <c r="F356" i="90"/>
  <c r="F357" i="90"/>
  <c r="F358" i="90"/>
  <c r="F359" i="90"/>
  <c r="F360" i="90"/>
  <c r="F361" i="90"/>
  <c r="F362" i="90"/>
  <c r="F363" i="90"/>
  <c r="F364" i="90"/>
  <c r="F365" i="90"/>
  <c r="F366" i="90"/>
  <c r="F367" i="90"/>
  <c r="F368" i="90"/>
  <c r="G374" i="90"/>
  <c r="D375" i="90"/>
  <c r="E375" i="90"/>
  <c r="F375" i="90"/>
  <c r="G375" i="90"/>
  <c r="H375" i="90"/>
  <c r="I375" i="90"/>
  <c r="J375" i="90"/>
  <c r="K375" i="90"/>
  <c r="D376" i="90"/>
  <c r="E376" i="90"/>
  <c r="F376" i="90"/>
  <c r="G376" i="90"/>
  <c r="H376" i="90"/>
  <c r="I376" i="90"/>
  <c r="J376" i="90"/>
  <c r="K376" i="90"/>
  <c r="F378" i="90"/>
  <c r="F379" i="90"/>
  <c r="F380" i="90"/>
  <c r="F381" i="90"/>
  <c r="F382" i="90"/>
  <c r="F383" i="90"/>
  <c r="F384" i="90"/>
  <c r="F385" i="90"/>
  <c r="F386" i="90"/>
  <c r="F387" i="90"/>
  <c r="F388" i="90"/>
  <c r="F389" i="90"/>
  <c r="F390" i="90"/>
  <c r="F391" i="90"/>
  <c r="F392" i="90"/>
  <c r="F393" i="90"/>
  <c r="F394" i="90"/>
  <c r="F395" i="90"/>
  <c r="F396" i="90"/>
  <c r="F397" i="90"/>
  <c r="F398" i="90"/>
  <c r="F399" i="90"/>
  <c r="F400" i="90"/>
  <c r="F401" i="90"/>
  <c r="G192" i="89"/>
  <c r="G193" i="89" s="1"/>
  <c r="G184" i="89"/>
  <c r="G185" i="89" s="1"/>
  <c r="G164" i="89"/>
  <c r="D162" i="89"/>
  <c r="I147" i="89"/>
  <c r="H147" i="89"/>
  <c r="D147" i="89"/>
  <c r="A147" i="89"/>
  <c r="I145" i="89"/>
  <c r="H145" i="89"/>
  <c r="G145" i="89"/>
  <c r="F145" i="89"/>
  <c r="E145" i="89"/>
  <c r="D145" i="89"/>
  <c r="A138" i="89"/>
  <c r="A139" i="89" s="1"/>
  <c r="A140" i="89" s="1"/>
  <c r="A141" i="89" s="1"/>
  <c r="A142" i="89" s="1"/>
  <c r="A137" i="89"/>
  <c r="I132" i="89"/>
  <c r="H132" i="89"/>
  <c r="F132" i="89"/>
  <c r="D132" i="89"/>
  <c r="E116" i="89"/>
  <c r="G116" i="89" s="1"/>
  <c r="E115" i="89"/>
  <c r="G115" i="89" s="1"/>
  <c r="A113" i="89"/>
  <c r="A114" i="89" s="1"/>
  <c r="A115" i="89" s="1"/>
  <c r="A116" i="89" s="1"/>
  <c r="A117" i="89" s="1"/>
  <c r="A118" i="89" s="1"/>
  <c r="A119" i="89" s="1"/>
  <c r="A120" i="89" s="1"/>
  <c r="A121" i="89" s="1"/>
  <c r="A122" i="89" s="1"/>
  <c r="A123" i="89" s="1"/>
  <c r="A130" i="89" s="1"/>
  <c r="A112" i="89"/>
  <c r="E103" i="89"/>
  <c r="A103" i="89"/>
  <c r="I100" i="89"/>
  <c r="F100" i="89"/>
  <c r="A99" i="89"/>
  <c r="A100" i="89" s="1"/>
  <c r="E11" i="89" s="1"/>
  <c r="I98" i="89"/>
  <c r="H98" i="89"/>
  <c r="H100" i="89" s="1"/>
  <c r="G98" i="89"/>
  <c r="G100" i="89" s="1"/>
  <c r="F98" i="89"/>
  <c r="E98" i="89"/>
  <c r="D98" i="89"/>
  <c r="A88" i="89"/>
  <c r="A89" i="89" s="1"/>
  <c r="A90" i="89" s="1"/>
  <c r="A91" i="89" s="1"/>
  <c r="A92" i="89" s="1"/>
  <c r="A93" i="89" s="1"/>
  <c r="A94" i="89" s="1"/>
  <c r="A95" i="89" s="1"/>
  <c r="A87" i="89"/>
  <c r="I75" i="89"/>
  <c r="F75" i="89"/>
  <c r="F77" i="89" s="1"/>
  <c r="A75" i="89"/>
  <c r="E80" i="89" s="1"/>
  <c r="I73" i="89"/>
  <c r="H73" i="89"/>
  <c r="G73" i="89"/>
  <c r="F73" i="89"/>
  <c r="E73" i="89"/>
  <c r="D73" i="89"/>
  <c r="A69" i="89"/>
  <c r="A70" i="89" s="1"/>
  <c r="A68" i="89"/>
  <c r="A67" i="89"/>
  <c r="D62" i="89"/>
  <c r="D75" i="89" s="1"/>
  <c r="F41" i="89"/>
  <c r="F62" i="89" s="1"/>
  <c r="A32" i="89"/>
  <c r="A33" i="89" s="1"/>
  <c r="A34" i="89" s="1"/>
  <c r="A35" i="89" s="1"/>
  <c r="A36" i="89" s="1"/>
  <c r="A37" i="89" s="1"/>
  <c r="A38" i="89" s="1"/>
  <c r="A39" i="89" s="1"/>
  <c r="A40" i="89" s="1"/>
  <c r="A41" i="89" s="1"/>
  <c r="A42" i="89" s="1"/>
  <c r="A43" i="89" s="1"/>
  <c r="A44" i="89" s="1"/>
  <c r="A45" i="89" s="1"/>
  <c r="A46" i="89" s="1"/>
  <c r="A47" i="89" s="1"/>
  <c r="A48" i="89" s="1"/>
  <c r="A49" i="89" s="1"/>
  <c r="A50" i="89" s="1"/>
  <c r="A51" i="89" s="1"/>
  <c r="A52" i="89" s="1"/>
  <c r="A53" i="89" s="1"/>
  <c r="A60" i="89" s="1"/>
  <c r="A31" i="89"/>
  <c r="I62" i="89" s="1"/>
  <c r="A11" i="89"/>
  <c r="A12" i="89" s="1"/>
  <c r="A13" i="89" s="1"/>
  <c r="F102" i="88"/>
  <c r="F97" i="88"/>
  <c r="J85" i="88"/>
  <c r="E86" i="88"/>
  <c r="H42" i="88"/>
  <c r="H41" i="88"/>
  <c r="H33" i="88"/>
  <c r="A33" i="88"/>
  <c r="A34" i="88" s="1"/>
  <c r="A38" i="88" s="1"/>
  <c r="A8" i="88"/>
  <c r="A9" i="88" s="1"/>
  <c r="A12" i="88" s="1"/>
  <c r="A7" i="88"/>
  <c r="A119" i="101" l="1"/>
  <c r="J72" i="101"/>
  <c r="K78" i="101"/>
  <c r="N77" i="101"/>
  <c r="L78" i="101"/>
  <c r="L15" i="101" s="1"/>
  <c r="L48" i="101"/>
  <c r="K48" i="101"/>
  <c r="M46" i="101"/>
  <c r="L14" i="101"/>
  <c r="J217" i="96"/>
  <c r="J378" i="90"/>
  <c r="J15" i="92"/>
  <c r="F60" i="94"/>
  <c r="J314" i="96"/>
  <c r="J315" i="96" s="1"/>
  <c r="G37" i="97"/>
  <c r="E120" i="98"/>
  <c r="E124" i="98"/>
  <c r="E126" i="98"/>
  <c r="E128" i="98"/>
  <c r="E103" i="92"/>
  <c r="J42" i="92" s="1"/>
  <c r="E68" i="96"/>
  <c r="I74" i="96"/>
  <c r="I63" i="90"/>
  <c r="I61" i="90"/>
  <c r="I66" i="96"/>
  <c r="I58" i="96"/>
  <c r="J378" i="96"/>
  <c r="J379" i="96" s="1"/>
  <c r="J281" i="90"/>
  <c r="K281" i="90" s="1"/>
  <c r="J186" i="90"/>
  <c r="K186" i="90" s="1"/>
  <c r="H156" i="95"/>
  <c r="I67" i="96"/>
  <c r="E48" i="97"/>
  <c r="J345" i="90"/>
  <c r="K345" i="90" s="1"/>
  <c r="I75" i="96"/>
  <c r="J281" i="96"/>
  <c r="K281" i="96" s="1"/>
  <c r="J345" i="96"/>
  <c r="K345" i="96" s="1"/>
  <c r="J282" i="90"/>
  <c r="K282" i="90" s="1"/>
  <c r="H103" i="94"/>
  <c r="H133" i="94" s="1"/>
  <c r="H136" i="94" s="1"/>
  <c r="H112" i="94"/>
  <c r="H123" i="94" s="1"/>
  <c r="E58" i="96"/>
  <c r="F62" i="96"/>
  <c r="I72" i="96"/>
  <c r="I71" i="96"/>
  <c r="J153" i="90"/>
  <c r="K153" i="90" s="1"/>
  <c r="I77" i="90"/>
  <c r="I56" i="90"/>
  <c r="I59" i="96"/>
  <c r="F61" i="96"/>
  <c r="F77" i="96"/>
  <c r="I65" i="96"/>
  <c r="E74" i="96"/>
  <c r="J15" i="88"/>
  <c r="F71" i="90"/>
  <c r="I69" i="90"/>
  <c r="I71" i="90"/>
  <c r="I66" i="90"/>
  <c r="I57" i="90"/>
  <c r="E102" i="88"/>
  <c r="J42" i="88" s="1"/>
  <c r="D100" i="89"/>
  <c r="D11" i="89" s="1"/>
  <c r="H149" i="89"/>
  <c r="I64" i="90"/>
  <c r="J122" i="90"/>
  <c r="K122" i="90" s="1"/>
  <c r="F101" i="96"/>
  <c r="F67" i="96" s="1"/>
  <c r="E67" i="96"/>
  <c r="I68" i="96"/>
  <c r="J282" i="96"/>
  <c r="K282" i="96" s="1"/>
  <c r="F72" i="90"/>
  <c r="F63" i="90"/>
  <c r="I72" i="90"/>
  <c r="J21" i="92"/>
  <c r="N93" i="94"/>
  <c r="N97" i="94"/>
  <c r="N101" i="94"/>
  <c r="F75" i="96"/>
  <c r="J122" i="96"/>
  <c r="J123" i="96" s="1"/>
  <c r="I56" i="96"/>
  <c r="I73" i="96"/>
  <c r="J186" i="96"/>
  <c r="K186" i="96" s="1"/>
  <c r="F64" i="90"/>
  <c r="H139" i="93"/>
  <c r="H156" i="93" s="1"/>
  <c r="E57" i="96"/>
  <c r="F78" i="96"/>
  <c r="I64" i="96"/>
  <c r="I63" i="96"/>
  <c r="I78" i="96"/>
  <c r="I70" i="96"/>
  <c r="I62" i="96"/>
  <c r="K150" i="93"/>
  <c r="A13" i="92"/>
  <c r="A14" i="92" s="1"/>
  <c r="A15" i="92" s="1"/>
  <c r="A18" i="92" s="1"/>
  <c r="C157" i="93"/>
  <c r="C153" i="93"/>
  <c r="A109" i="95"/>
  <c r="E11" i="95"/>
  <c r="L157" i="93"/>
  <c r="A49" i="92"/>
  <c r="A51" i="92" s="1"/>
  <c r="A52" i="92" s="1"/>
  <c r="A53" i="92" s="1"/>
  <c r="A54" i="92" s="1"/>
  <c r="A55" i="92" s="1"/>
  <c r="A56" i="92" s="1"/>
  <c r="A57" i="92" s="1"/>
  <c r="A58" i="92" s="1"/>
  <c r="A59" i="92" s="1"/>
  <c r="A60" i="92" s="1"/>
  <c r="B176" i="93"/>
  <c r="A24" i="93"/>
  <c r="L154" i="93"/>
  <c r="L150" i="93"/>
  <c r="L146" i="93"/>
  <c r="L153" i="93"/>
  <c r="B174" i="94"/>
  <c r="A25" i="94"/>
  <c r="A33" i="94" s="1"/>
  <c r="A107" i="98"/>
  <c r="G72" i="98"/>
  <c r="C147" i="93"/>
  <c r="M115" i="93"/>
  <c r="K149" i="93"/>
  <c r="K152" i="93"/>
  <c r="M121" i="93"/>
  <c r="F154" i="93"/>
  <c r="J154" i="93"/>
  <c r="M123" i="93"/>
  <c r="K155" i="93"/>
  <c r="G126" i="93"/>
  <c r="G147" i="93" s="1"/>
  <c r="G154" i="93"/>
  <c r="D151" i="93"/>
  <c r="K154" i="93"/>
  <c r="G58" i="94"/>
  <c r="A46" i="94"/>
  <c r="F123" i="94"/>
  <c r="J123" i="94"/>
  <c r="J155" i="94" s="1"/>
  <c r="E115" i="94"/>
  <c r="N95" i="94"/>
  <c r="N100" i="94"/>
  <c r="H63" i="95"/>
  <c r="E54" i="95"/>
  <c r="G54" i="95" s="1"/>
  <c r="E46" i="95"/>
  <c r="G46" i="95" s="1"/>
  <c r="E42" i="95"/>
  <c r="G42" i="95" s="1"/>
  <c r="E32" i="95"/>
  <c r="G32" i="95" s="1"/>
  <c r="E121" i="95"/>
  <c r="E64" i="96"/>
  <c r="F162" i="96"/>
  <c r="F64" i="96" s="1"/>
  <c r="E55" i="96"/>
  <c r="F250" i="96"/>
  <c r="J250" i="96" s="1"/>
  <c r="K378" i="96"/>
  <c r="I36" i="98"/>
  <c r="J99" i="98"/>
  <c r="J36" i="98" s="1"/>
  <c r="L147" i="93"/>
  <c r="M118" i="93"/>
  <c r="D152" i="93"/>
  <c r="L152" i="93"/>
  <c r="L155" i="93"/>
  <c r="D157" i="93"/>
  <c r="K126" i="93"/>
  <c r="K148" i="93" s="1"/>
  <c r="E139" i="93"/>
  <c r="E153" i="93" s="1"/>
  <c r="G146" i="93"/>
  <c r="L149" i="93"/>
  <c r="D155" i="93"/>
  <c r="D114" i="94"/>
  <c r="N114" i="94" s="1"/>
  <c r="N94" i="94"/>
  <c r="E119" i="94"/>
  <c r="N99" i="94"/>
  <c r="E103" i="94"/>
  <c r="E133" i="94" s="1"/>
  <c r="E136" i="94" s="1"/>
  <c r="N120" i="94"/>
  <c r="I123" i="94"/>
  <c r="A15" i="95"/>
  <c r="A16" i="95" s="1"/>
  <c r="A17" i="95" s="1"/>
  <c r="A18" i="95" s="1"/>
  <c r="A19" i="95" s="1"/>
  <c r="A20" i="95" s="1"/>
  <c r="A21" i="95" s="1"/>
  <c r="A22" i="95" s="1"/>
  <c r="A23" i="95" s="1"/>
  <c r="A24" i="95" s="1"/>
  <c r="E24" i="95"/>
  <c r="E19" i="95"/>
  <c r="E36" i="95"/>
  <c r="G36" i="95" s="1"/>
  <c r="J89" i="96"/>
  <c r="F59" i="96"/>
  <c r="F66" i="96"/>
  <c r="F71" i="96"/>
  <c r="I55" i="96"/>
  <c r="J187" i="96"/>
  <c r="E63" i="96"/>
  <c r="F194" i="96"/>
  <c r="F63" i="96" s="1"/>
  <c r="J218" i="96"/>
  <c r="K217" i="96"/>
  <c r="E37" i="97"/>
  <c r="F47" i="97"/>
  <c r="E47" i="97" s="1"/>
  <c r="H48" i="97"/>
  <c r="A28" i="97"/>
  <c r="A29" i="97" s="1"/>
  <c r="A30" i="97" s="1"/>
  <c r="A31" i="97" s="1"/>
  <c r="A32" i="97" s="1"/>
  <c r="A33" i="97" s="1"/>
  <c r="A34" i="97" s="1"/>
  <c r="A35" i="97" s="1"/>
  <c r="A36" i="97" s="1"/>
  <c r="A37" i="97" s="1"/>
  <c r="A46" i="97" s="1"/>
  <c r="A47" i="97" s="1"/>
  <c r="A48" i="97" s="1"/>
  <c r="A49" i="97" s="1"/>
  <c r="A50" i="97" s="1"/>
  <c r="A51" i="97" s="1"/>
  <c r="A60" i="97" s="1"/>
  <c r="A61" i="97" s="1"/>
  <c r="A62" i="97" s="1"/>
  <c r="A63" i="97" s="1"/>
  <c r="A64" i="97" s="1"/>
  <c r="A65" i="97" s="1"/>
  <c r="A72" i="97" s="1"/>
  <c r="A73" i="97" s="1"/>
  <c r="A74" i="97" s="1"/>
  <c r="A75" i="97" s="1"/>
  <c r="A76" i="97" s="1"/>
  <c r="A77" i="97" s="1"/>
  <c r="A78" i="97" s="1"/>
  <c r="A79" i="97" s="1"/>
  <c r="A80" i="97" s="1"/>
  <c r="A81" i="97" s="1"/>
  <c r="A82" i="97" s="1"/>
  <c r="A83" i="97" s="1"/>
  <c r="A84" i="97" s="1"/>
  <c r="G85" i="97"/>
  <c r="G62" i="97" s="1"/>
  <c r="E62" i="97" s="1"/>
  <c r="G31" i="98"/>
  <c r="H94" i="98"/>
  <c r="H31" i="98" s="1"/>
  <c r="H56" i="92"/>
  <c r="E98" i="92"/>
  <c r="J33" i="92" s="1"/>
  <c r="D146" i="93"/>
  <c r="G148" i="93"/>
  <c r="M117" i="93"/>
  <c r="C151" i="93"/>
  <c r="M119" i="93"/>
  <c r="K151" i="93"/>
  <c r="E152" i="93"/>
  <c r="K153" i="93"/>
  <c r="K156" i="93"/>
  <c r="M125" i="93"/>
  <c r="K146" i="93"/>
  <c r="C152" i="93"/>
  <c r="D103" i="94"/>
  <c r="D133" i="94" s="1"/>
  <c r="D136" i="94" s="1"/>
  <c r="N92" i="94"/>
  <c r="D118" i="94"/>
  <c r="N118" i="94" s="1"/>
  <c r="N98" i="94"/>
  <c r="J103" i="94"/>
  <c r="J133" i="94" s="1"/>
  <c r="J136" i="94" s="1"/>
  <c r="N116" i="94"/>
  <c r="E14" i="95"/>
  <c r="E31" i="95"/>
  <c r="E12" i="95"/>
  <c r="A159" i="95"/>
  <c r="A167" i="95" s="1"/>
  <c r="E59" i="96"/>
  <c r="E75" i="96"/>
  <c r="I60" i="96"/>
  <c r="F69" i="96"/>
  <c r="F70" i="96"/>
  <c r="I76" i="96"/>
  <c r="J153" i="96"/>
  <c r="E56" i="96"/>
  <c r="F154" i="96"/>
  <c r="F56" i="96" s="1"/>
  <c r="E72" i="96"/>
  <c r="F170" i="96"/>
  <c r="F72" i="96" s="1"/>
  <c r="F85" i="97"/>
  <c r="G61" i="97" s="1"/>
  <c r="E61" i="97" s="1"/>
  <c r="E78" i="97"/>
  <c r="H13" i="98"/>
  <c r="I76" i="98"/>
  <c r="I29" i="98"/>
  <c r="J92" i="98"/>
  <c r="J29" i="98" s="1"/>
  <c r="G34" i="98"/>
  <c r="H97" i="98"/>
  <c r="H34" i="98" s="1"/>
  <c r="M23" i="93"/>
  <c r="F61" i="93"/>
  <c r="F63" i="93" s="1"/>
  <c r="F56" i="93"/>
  <c r="F58" i="93" s="1"/>
  <c r="I126" i="93"/>
  <c r="M114" i="93"/>
  <c r="D148" i="93"/>
  <c r="L148" i="93"/>
  <c r="L151" i="93"/>
  <c r="M122" i="93"/>
  <c r="D156" i="93"/>
  <c r="L156" i="93"/>
  <c r="I139" i="93"/>
  <c r="N83" i="94"/>
  <c r="E111" i="94"/>
  <c r="N91" i="94"/>
  <c r="I103" i="94"/>
  <c r="I133" i="94" s="1"/>
  <c r="I136" i="94" s="1"/>
  <c r="M111" i="94"/>
  <c r="M103" i="94"/>
  <c r="M133" i="94" s="1"/>
  <c r="M136" i="94" s="1"/>
  <c r="L103" i="94"/>
  <c r="L133" i="94" s="1"/>
  <c r="L136" i="94" s="1"/>
  <c r="N96" i="94"/>
  <c r="D122" i="94"/>
  <c r="N122" i="94" s="1"/>
  <c r="N102" i="94"/>
  <c r="F76" i="95"/>
  <c r="F78" i="95" s="1"/>
  <c r="E81" i="95"/>
  <c r="A77" i="95"/>
  <c r="A78" i="95" s="1"/>
  <c r="D106" i="95"/>
  <c r="D11" i="95" s="1"/>
  <c r="E60" i="96"/>
  <c r="E66" i="96"/>
  <c r="E76" i="96"/>
  <c r="F58" i="96"/>
  <c r="F74" i="96"/>
  <c r="I57" i="96"/>
  <c r="J346" i="96"/>
  <c r="H85" i="97"/>
  <c r="G60" i="97" s="1"/>
  <c r="E60" i="97" s="1"/>
  <c r="P37" i="98"/>
  <c r="G18" i="98"/>
  <c r="H81" i="98"/>
  <c r="H18" i="98" s="1"/>
  <c r="H88" i="98"/>
  <c r="H25" i="98" s="1"/>
  <c r="F103" i="94"/>
  <c r="F133" i="94" s="1"/>
  <c r="F136" i="94" s="1"/>
  <c r="E65" i="96"/>
  <c r="E73" i="96"/>
  <c r="K45" i="98"/>
  <c r="E13" i="98"/>
  <c r="G19" i="98"/>
  <c r="I20" i="98"/>
  <c r="J83" i="98"/>
  <c r="J20" i="98" s="1"/>
  <c r="H84" i="98"/>
  <c r="H21" i="98" s="1"/>
  <c r="G21" i="98"/>
  <c r="I84" i="98"/>
  <c r="F149" i="93"/>
  <c r="F157" i="93"/>
  <c r="C126" i="93"/>
  <c r="C149" i="93" s="1"/>
  <c r="H126" i="93"/>
  <c r="E46" i="94"/>
  <c r="F51" i="94" s="1"/>
  <c r="F53" i="94" s="1"/>
  <c r="H46" i="94"/>
  <c r="G123" i="94"/>
  <c r="K123" i="94"/>
  <c r="D113" i="94"/>
  <c r="D117" i="94"/>
  <c r="N117" i="94" s="1"/>
  <c r="D121" i="94"/>
  <c r="N121" i="94" s="1"/>
  <c r="L123" i="94"/>
  <c r="D76" i="95"/>
  <c r="H76" i="95"/>
  <c r="H78" i="95" s="1"/>
  <c r="G171" i="95"/>
  <c r="D13" i="95" s="1"/>
  <c r="E44" i="95"/>
  <c r="H44" i="95" s="1"/>
  <c r="E38" i="95"/>
  <c r="H38" i="95" s="1"/>
  <c r="E62" i="96"/>
  <c r="E70" i="96"/>
  <c r="E71" i="96"/>
  <c r="E78" i="96"/>
  <c r="F91" i="96"/>
  <c r="F57" i="96" s="1"/>
  <c r="F99" i="96"/>
  <c r="F65" i="96" s="1"/>
  <c r="F107" i="96"/>
  <c r="F73" i="96" s="1"/>
  <c r="I61" i="96"/>
  <c r="I69" i="96"/>
  <c r="I77" i="96"/>
  <c r="E79" i="97"/>
  <c r="E81" i="97"/>
  <c r="E72" i="97"/>
  <c r="E106" i="97"/>
  <c r="G106" i="97" s="1"/>
  <c r="H82" i="98"/>
  <c r="H19" i="98" s="1"/>
  <c r="I85" i="98"/>
  <c r="F148" i="93"/>
  <c r="F156" i="93"/>
  <c r="D126" i="93"/>
  <c r="D150" i="93" s="1"/>
  <c r="E39" i="95"/>
  <c r="H39" i="95" s="1"/>
  <c r="I156" i="95"/>
  <c r="F60" i="96"/>
  <c r="E61" i="96"/>
  <c r="F68" i="96"/>
  <c r="E69" i="96"/>
  <c r="F76" i="96"/>
  <c r="E77" i="96"/>
  <c r="E99" i="97"/>
  <c r="G99" i="97" s="1"/>
  <c r="E104" i="97"/>
  <c r="G104" i="97" s="1"/>
  <c r="E103" i="97"/>
  <c r="G103" i="97" s="1"/>
  <c r="G15" i="98"/>
  <c r="H78" i="98"/>
  <c r="H15" i="98" s="1"/>
  <c r="H80" i="98"/>
  <c r="H17" i="98" s="1"/>
  <c r="H85" i="98"/>
  <c r="H22" i="98" s="1"/>
  <c r="I90" i="98"/>
  <c r="G27" i="98"/>
  <c r="H90" i="98"/>
  <c r="H27" i="98" s="1"/>
  <c r="I28" i="98"/>
  <c r="J91" i="98"/>
  <c r="J28" i="98" s="1"/>
  <c r="I93" i="98"/>
  <c r="H93" i="98"/>
  <c r="H30" i="98" s="1"/>
  <c r="F126" i="93"/>
  <c r="F146" i="93" s="1"/>
  <c r="J126" i="93"/>
  <c r="J149" i="93" s="1"/>
  <c r="G103" i="94"/>
  <c r="G133" i="94" s="1"/>
  <c r="G136" i="94" s="1"/>
  <c r="K103" i="94"/>
  <c r="K133" i="94" s="1"/>
  <c r="K136" i="94" s="1"/>
  <c r="F37" i="97"/>
  <c r="E73" i="97"/>
  <c r="E95" i="97"/>
  <c r="M13" i="98"/>
  <c r="P25" i="98"/>
  <c r="H77" i="98"/>
  <c r="H14" i="98" s="1"/>
  <c r="H96" i="98"/>
  <c r="H33" i="98" s="1"/>
  <c r="I96" i="98"/>
  <c r="I98" i="98"/>
  <c r="G35" i="98"/>
  <c r="E125" i="98"/>
  <c r="E131" i="98"/>
  <c r="I86" i="98"/>
  <c r="G23" i="98"/>
  <c r="I89" i="98"/>
  <c r="E122" i="98"/>
  <c r="E119" i="98"/>
  <c r="E123" i="98"/>
  <c r="E127" i="98"/>
  <c r="H56" i="88"/>
  <c r="A41" i="88"/>
  <c r="A42" i="88" s="1"/>
  <c r="A43" i="88" s="1"/>
  <c r="A44" i="88" s="1"/>
  <c r="A45" i="88" s="1"/>
  <c r="A48" i="88" s="1"/>
  <c r="J154" i="90"/>
  <c r="E50" i="89"/>
  <c r="H50" i="89" s="1"/>
  <c r="E44" i="89"/>
  <c r="H44" i="89" s="1"/>
  <c r="E39" i="89"/>
  <c r="H39" i="89" s="1"/>
  <c r="E40" i="89"/>
  <c r="H40" i="89" s="1"/>
  <c r="E37" i="89"/>
  <c r="H37" i="89" s="1"/>
  <c r="E33" i="89"/>
  <c r="H33" i="89" s="1"/>
  <c r="E38" i="89"/>
  <c r="H38" i="89" s="1"/>
  <c r="A13" i="88"/>
  <c r="A14" i="88" s="1"/>
  <c r="A15" i="88" s="1"/>
  <c r="A18" i="88" s="1"/>
  <c r="J379" i="90"/>
  <c r="K378" i="90"/>
  <c r="A14" i="89"/>
  <c r="E14" i="89"/>
  <c r="E164" i="89"/>
  <c r="D164" i="89" s="1"/>
  <c r="D13" i="89"/>
  <c r="H55" i="88"/>
  <c r="E97" i="88"/>
  <c r="J33" i="88" s="1"/>
  <c r="F110" i="90"/>
  <c r="F76" i="90" s="1"/>
  <c r="E76" i="90"/>
  <c r="E75" i="90"/>
  <c r="F73" i="90"/>
  <c r="E69" i="90"/>
  <c r="F103" i="90"/>
  <c r="F69" i="90" s="1"/>
  <c r="I59" i="90"/>
  <c r="E58" i="90"/>
  <c r="F92" i="90"/>
  <c r="F58" i="90" s="1"/>
  <c r="I55" i="90"/>
  <c r="E73" i="90"/>
  <c r="E63" i="90"/>
  <c r="E57" i="90"/>
  <c r="A148" i="89"/>
  <c r="A149" i="89" s="1"/>
  <c r="E152" i="89"/>
  <c r="E77" i="90"/>
  <c r="F111" i="90"/>
  <c r="F77" i="90" s="1"/>
  <c r="I74" i="90"/>
  <c r="I67" i="90"/>
  <c r="E66" i="90"/>
  <c r="F100" i="90"/>
  <c r="F66" i="90" s="1"/>
  <c r="I60" i="90"/>
  <c r="F59" i="90"/>
  <c r="E64" i="90"/>
  <c r="J21" i="88"/>
  <c r="E55" i="90"/>
  <c r="I75" i="90"/>
  <c r="E74" i="90"/>
  <c r="F108" i="90"/>
  <c r="F74" i="90" s="1"/>
  <c r="I68" i="90"/>
  <c r="F67" i="90"/>
  <c r="I65" i="90"/>
  <c r="F94" i="90"/>
  <c r="F60" i="90" s="1"/>
  <c r="E60" i="90"/>
  <c r="E59" i="90"/>
  <c r="F57" i="90"/>
  <c r="E71" i="90"/>
  <c r="E65" i="90"/>
  <c r="E56" i="90"/>
  <c r="H34" i="88"/>
  <c r="A76" i="89"/>
  <c r="F147" i="89"/>
  <c r="F149" i="89" s="1"/>
  <c r="I149" i="89"/>
  <c r="E42" i="89"/>
  <c r="G42" i="89" s="1"/>
  <c r="E31" i="89"/>
  <c r="E114" i="89"/>
  <c r="E36" i="89"/>
  <c r="G36" i="89" s="1"/>
  <c r="E32" i="89"/>
  <c r="G32" i="89" s="1"/>
  <c r="J250" i="90"/>
  <c r="J123" i="90"/>
  <c r="I76" i="90"/>
  <c r="F109" i="90"/>
  <c r="F75" i="90" s="1"/>
  <c r="I73" i="90"/>
  <c r="F102" i="90"/>
  <c r="F68" i="90" s="1"/>
  <c r="E68" i="90"/>
  <c r="E67" i="90"/>
  <c r="F65" i="90"/>
  <c r="E61" i="90"/>
  <c r="F95" i="90"/>
  <c r="F61" i="90" s="1"/>
  <c r="I58" i="90"/>
  <c r="J89" i="90"/>
  <c r="E72" i="90"/>
  <c r="J314" i="90"/>
  <c r="I78" i="90"/>
  <c r="I70" i="90"/>
  <c r="I62" i="90"/>
  <c r="F56" i="90"/>
  <c r="F55" i="90"/>
  <c r="J217" i="90"/>
  <c r="E78" i="90"/>
  <c r="F112" i="90"/>
  <c r="F78" i="90" s="1"/>
  <c r="E70" i="90"/>
  <c r="F104" i="90"/>
  <c r="F70" i="90" s="1"/>
  <c r="E62" i="90"/>
  <c r="F96" i="90"/>
  <c r="F62" i="90" s="1"/>
  <c r="K13" i="86"/>
  <c r="J14" i="86"/>
  <c r="J13" i="86"/>
  <c r="I13" i="86"/>
  <c r="I14" i="86"/>
  <c r="K14" i="86" s="1"/>
  <c r="I15" i="86" s="1"/>
  <c r="K12" i="86"/>
  <c r="J12" i="86"/>
  <c r="I12" i="86"/>
  <c r="M47" i="101" l="1"/>
  <c r="M14" i="101"/>
  <c r="N46" i="101"/>
  <c r="N14" i="101" s="1"/>
  <c r="K49" i="101"/>
  <c r="L49" i="101"/>
  <c r="L79" i="101"/>
  <c r="K79" i="101"/>
  <c r="M78" i="101"/>
  <c r="L16" i="101"/>
  <c r="K15" i="101"/>
  <c r="A120" i="101"/>
  <c r="A121" i="101" s="1"/>
  <c r="A122" i="101" s="1"/>
  <c r="A123" i="101" s="1"/>
  <c r="A124" i="101" s="1"/>
  <c r="A125" i="101" s="1"/>
  <c r="A126" i="101" s="1"/>
  <c r="A127" i="101" s="1"/>
  <c r="A128" i="101" s="1"/>
  <c r="A129" i="101" s="1"/>
  <c r="A130" i="101" s="1"/>
  <c r="J346" i="90"/>
  <c r="K122" i="96"/>
  <c r="J29" i="92"/>
  <c r="J34" i="92" s="1"/>
  <c r="J56" i="92" s="1"/>
  <c r="J187" i="90"/>
  <c r="J188" i="90" s="1"/>
  <c r="E51" i="97"/>
  <c r="K314" i="96"/>
  <c r="I154" i="94"/>
  <c r="J152" i="94"/>
  <c r="E157" i="93"/>
  <c r="H154" i="93"/>
  <c r="J283" i="96"/>
  <c r="J284" i="96" s="1"/>
  <c r="K147" i="94"/>
  <c r="K155" i="94"/>
  <c r="F55" i="96"/>
  <c r="I149" i="94"/>
  <c r="J283" i="90"/>
  <c r="K283" i="90" s="1"/>
  <c r="J154" i="94"/>
  <c r="L149" i="94"/>
  <c r="L144" i="94"/>
  <c r="L13" i="94" s="1"/>
  <c r="H153" i="94"/>
  <c r="H148" i="94"/>
  <c r="J41" i="92"/>
  <c r="J38" i="92"/>
  <c r="J57" i="92" s="1"/>
  <c r="J148" i="94"/>
  <c r="K151" i="94"/>
  <c r="H152" i="93"/>
  <c r="I150" i="93"/>
  <c r="K146" i="94"/>
  <c r="N112" i="94"/>
  <c r="I151" i="94"/>
  <c r="I145" i="94"/>
  <c r="J146" i="94"/>
  <c r="F12" i="93"/>
  <c r="F149" i="94"/>
  <c r="F147" i="94"/>
  <c r="F145" i="94"/>
  <c r="F146" i="94"/>
  <c r="F154" i="94"/>
  <c r="F150" i="94"/>
  <c r="F148" i="94"/>
  <c r="F144" i="94"/>
  <c r="F153" i="94"/>
  <c r="F152" i="94"/>
  <c r="F155" i="94"/>
  <c r="F151" i="94"/>
  <c r="G148" i="94"/>
  <c r="G144" i="94"/>
  <c r="G145" i="94"/>
  <c r="G149" i="94"/>
  <c r="G151" i="94"/>
  <c r="G154" i="94"/>
  <c r="G153" i="94"/>
  <c r="G152" i="94"/>
  <c r="G150" i="94"/>
  <c r="G147" i="94"/>
  <c r="G155" i="94"/>
  <c r="G146" i="94"/>
  <c r="G95" i="97"/>
  <c r="G107" i="97" s="1"/>
  <c r="E107" i="97"/>
  <c r="I30" i="98"/>
  <c r="J93" i="98"/>
  <c r="J30" i="98" s="1"/>
  <c r="A81" i="95"/>
  <c r="E10" i="95"/>
  <c r="E123" i="94"/>
  <c r="E145" i="94" s="1"/>
  <c r="N111" i="94"/>
  <c r="D43" i="93"/>
  <c r="M131" i="93"/>
  <c r="M139" i="93" s="1"/>
  <c r="E63" i="95"/>
  <c r="E76" i="95" s="1"/>
  <c r="G31" i="95"/>
  <c r="G63" i="95" s="1"/>
  <c r="G76" i="95" s="1"/>
  <c r="G78" i="95" s="1"/>
  <c r="D78" i="95" s="1"/>
  <c r="D10" i="95" s="1"/>
  <c r="J219" i="96"/>
  <c r="K218" i="96"/>
  <c r="K187" i="96"/>
  <c r="J188" i="96"/>
  <c r="H154" i="94"/>
  <c r="G12" i="93"/>
  <c r="L150" i="94"/>
  <c r="A62" i="92"/>
  <c r="A64" i="92" s="1"/>
  <c r="I152" i="94"/>
  <c r="E130" i="98"/>
  <c r="E133" i="98" s="1"/>
  <c r="L46" i="98" s="1"/>
  <c r="J86" i="98"/>
  <c r="J23" i="98" s="1"/>
  <c r="I23" i="98"/>
  <c r="J98" i="98"/>
  <c r="J35" i="98" s="1"/>
  <c r="I35" i="98"/>
  <c r="I77" i="98"/>
  <c r="J90" i="98"/>
  <c r="J27" i="98" s="1"/>
  <c r="I27" i="98"/>
  <c r="J152" i="93"/>
  <c r="I22" i="98"/>
  <c r="J85" i="98"/>
  <c r="J22" i="98" s="1"/>
  <c r="E85" i="97"/>
  <c r="L148" i="94"/>
  <c r="J153" i="93"/>
  <c r="J84" i="98"/>
  <c r="J21" i="98" s="1"/>
  <c r="I21" i="98"/>
  <c r="E171" i="95"/>
  <c r="D171" i="95" s="1"/>
  <c r="E65" i="97"/>
  <c r="J316" i="96"/>
  <c r="K315" i="96"/>
  <c r="I78" i="95"/>
  <c r="L155" i="94"/>
  <c r="M123" i="94"/>
  <c r="M150" i="94" s="1"/>
  <c r="I154" i="93"/>
  <c r="H151" i="93"/>
  <c r="J147" i="93"/>
  <c r="I146" i="93"/>
  <c r="L151" i="94"/>
  <c r="J150" i="94"/>
  <c r="H144" i="94"/>
  <c r="K12" i="93"/>
  <c r="I149" i="93"/>
  <c r="D12" i="93"/>
  <c r="J90" i="96"/>
  <c r="J55" i="96"/>
  <c r="K89" i="96"/>
  <c r="J147" i="94"/>
  <c r="K153" i="94"/>
  <c r="N119" i="94"/>
  <c r="H147" i="94"/>
  <c r="E155" i="93"/>
  <c r="E151" i="93"/>
  <c r="E147" i="93"/>
  <c r="E146" i="93"/>
  <c r="H147" i="93"/>
  <c r="K379" i="96"/>
  <c r="J380" i="96"/>
  <c r="H149" i="94"/>
  <c r="K154" i="94"/>
  <c r="H152" i="94"/>
  <c r="G51" i="94"/>
  <c r="A51" i="94"/>
  <c r="G155" i="93"/>
  <c r="E148" i="93"/>
  <c r="H72" i="98"/>
  <c r="A111" i="98"/>
  <c r="L147" i="94"/>
  <c r="H60" i="92"/>
  <c r="H148" i="93"/>
  <c r="J153" i="94"/>
  <c r="A19" i="92"/>
  <c r="A20" i="92" s="1"/>
  <c r="A21" i="92" s="1"/>
  <c r="H21" i="92"/>
  <c r="I33" i="98"/>
  <c r="J96" i="98"/>
  <c r="J33" i="98" s="1"/>
  <c r="J251" i="96"/>
  <c r="K250" i="96"/>
  <c r="F152" i="93"/>
  <c r="L152" i="94"/>
  <c r="N113" i="94"/>
  <c r="D123" i="94"/>
  <c r="F153" i="93"/>
  <c r="K46" i="98"/>
  <c r="N45" i="98"/>
  <c r="N136" i="94"/>
  <c r="J347" i="96"/>
  <c r="K346" i="96"/>
  <c r="L154" i="94"/>
  <c r="H155" i="94"/>
  <c r="H146" i="94"/>
  <c r="C156" i="93"/>
  <c r="J155" i="93"/>
  <c r="H153" i="93"/>
  <c r="C150" i="93"/>
  <c r="F147" i="93"/>
  <c r="J76" i="98"/>
  <c r="J13" i="98" s="1"/>
  <c r="I13" i="98"/>
  <c r="A168" i="95"/>
  <c r="A169" i="95" s="1"/>
  <c r="I169" i="95"/>
  <c r="K152" i="94"/>
  <c r="K148" i="94"/>
  <c r="K149" i="94"/>
  <c r="H151" i="94"/>
  <c r="J145" i="94"/>
  <c r="N133" i="94"/>
  <c r="G156" i="93"/>
  <c r="J150" i="93"/>
  <c r="E149" i="93"/>
  <c r="H145" i="94"/>
  <c r="I150" i="94"/>
  <c r="G153" i="93"/>
  <c r="H155" i="93"/>
  <c r="J151" i="93"/>
  <c r="H149" i="93"/>
  <c r="C146" i="93"/>
  <c r="H150" i="94"/>
  <c r="N115" i="94"/>
  <c r="J144" i="94"/>
  <c r="G149" i="93"/>
  <c r="K157" i="93"/>
  <c r="G152" i="93"/>
  <c r="K147" i="93"/>
  <c r="J146" i="93"/>
  <c r="J151" i="94"/>
  <c r="L145" i="94"/>
  <c r="L12" i="93"/>
  <c r="L13" i="93" s="1"/>
  <c r="L14" i="93" s="1"/>
  <c r="L15" i="93" s="1"/>
  <c r="L16" i="93" s="1"/>
  <c r="L17" i="93" s="1"/>
  <c r="L18" i="93" s="1"/>
  <c r="L19" i="93" s="1"/>
  <c r="L20" i="93" s="1"/>
  <c r="L21" i="93" s="1"/>
  <c r="L22" i="93" s="1"/>
  <c r="L158" i="93"/>
  <c r="A34" i="93"/>
  <c r="L146" i="94"/>
  <c r="I148" i="94"/>
  <c r="H146" i="93"/>
  <c r="J124" i="96"/>
  <c r="K123" i="96"/>
  <c r="C148" i="93"/>
  <c r="E154" i="93"/>
  <c r="H15" i="92"/>
  <c r="I155" i="94"/>
  <c r="D147" i="93"/>
  <c r="D13" i="93" s="1"/>
  <c r="D14" i="93" s="1"/>
  <c r="I26" i="98"/>
  <c r="J89" i="98"/>
  <c r="J26" i="98" s="1"/>
  <c r="I80" i="98"/>
  <c r="K144" i="94"/>
  <c r="J156" i="93"/>
  <c r="J148" i="93"/>
  <c r="I78" i="98"/>
  <c r="J157" i="93"/>
  <c r="I82" i="98"/>
  <c r="I153" i="94"/>
  <c r="I88" i="98"/>
  <c r="I81" i="98"/>
  <c r="J149" i="94"/>
  <c r="K145" i="94"/>
  <c r="N103" i="94"/>
  <c r="I156" i="93"/>
  <c r="I152" i="93"/>
  <c r="I148" i="93"/>
  <c r="I155" i="93"/>
  <c r="I151" i="93"/>
  <c r="I147" i="93"/>
  <c r="F155" i="93"/>
  <c r="D153" i="93"/>
  <c r="M126" i="93"/>
  <c r="I97" i="98"/>
  <c r="K153" i="96"/>
  <c r="J154" i="96"/>
  <c r="L153" i="94"/>
  <c r="I147" i="94"/>
  <c r="G157" i="93"/>
  <c r="I157" i="93"/>
  <c r="D154" i="93"/>
  <c r="G151" i="93"/>
  <c r="F150" i="93"/>
  <c r="I94" i="98"/>
  <c r="H47" i="97"/>
  <c r="H46" i="97"/>
  <c r="A85" i="97"/>
  <c r="M152" i="94"/>
  <c r="H157" i="93"/>
  <c r="C154" i="93"/>
  <c r="F151" i="93"/>
  <c r="D149" i="93"/>
  <c r="E139" i="95"/>
  <c r="E154" i="95" s="1"/>
  <c r="G121" i="95"/>
  <c r="G139" i="95" s="1"/>
  <c r="G154" i="95" s="1"/>
  <c r="G156" i="95" s="1"/>
  <c r="D156" i="95" s="1"/>
  <c r="D12" i="95" s="1"/>
  <c r="I144" i="94"/>
  <c r="I146" i="94"/>
  <c r="G150" i="93"/>
  <c r="E156" i="93"/>
  <c r="C155" i="93"/>
  <c r="I153" i="93"/>
  <c r="B169" i="94"/>
  <c r="H35" i="94"/>
  <c r="H150" i="93"/>
  <c r="E150" i="93"/>
  <c r="K150" i="94"/>
  <c r="K217" i="90"/>
  <c r="J218" i="90"/>
  <c r="A19" i="88"/>
  <c r="A20" i="88" s="1"/>
  <c r="A21" i="88" s="1"/>
  <c r="A23" i="88" s="1"/>
  <c r="H21" i="88"/>
  <c r="K123" i="90"/>
  <c r="J124" i="90"/>
  <c r="K346" i="90"/>
  <c r="J347" i="90"/>
  <c r="K379" i="90"/>
  <c r="J380" i="90"/>
  <c r="K314" i="90"/>
  <c r="J315" i="90"/>
  <c r="J55" i="90"/>
  <c r="K89" i="90"/>
  <c r="J90" i="90"/>
  <c r="K187" i="90"/>
  <c r="E132" i="89"/>
  <c r="E147" i="89" s="1"/>
  <c r="G114" i="89"/>
  <c r="G132" i="89" s="1"/>
  <c r="G147" i="89" s="1"/>
  <c r="G149" i="89" s="1"/>
  <c r="D149" i="89" s="1"/>
  <c r="D12" i="89" s="1"/>
  <c r="H62" i="89"/>
  <c r="H75" i="89" s="1"/>
  <c r="H77" i="89" s="1"/>
  <c r="K154" i="90"/>
  <c r="J155" i="90"/>
  <c r="J251" i="90"/>
  <c r="K250" i="90"/>
  <c r="E62" i="89"/>
  <c r="E75" i="89" s="1"/>
  <c r="G31" i="89"/>
  <c r="G62" i="89" s="1"/>
  <c r="G75" i="89" s="1"/>
  <c r="G77" i="89" s="1"/>
  <c r="D77" i="89" s="1"/>
  <c r="D10" i="89" s="1"/>
  <c r="A77" i="89"/>
  <c r="I77" i="89"/>
  <c r="H29" i="88"/>
  <c r="E12" i="89"/>
  <c r="A152" i="89"/>
  <c r="A160" i="89" s="1"/>
  <c r="E19" i="89"/>
  <c r="A15" i="89"/>
  <c r="A16" i="89" s="1"/>
  <c r="A17" i="89" s="1"/>
  <c r="A18" i="89" s="1"/>
  <c r="A19" i="89" s="1"/>
  <c r="A20" i="89" s="1"/>
  <c r="A21" i="89" s="1"/>
  <c r="A22" i="89" s="1"/>
  <c r="A23" i="89" s="1"/>
  <c r="A24" i="89" s="1"/>
  <c r="H15" i="88"/>
  <c r="A49" i="88"/>
  <c r="A50" i="88" s="1"/>
  <c r="A51" i="88" s="1"/>
  <c r="A52" i="88" s="1"/>
  <c r="A53" i="88" s="1"/>
  <c r="A54" i="88" s="1"/>
  <c r="A55" i="88" s="1"/>
  <c r="A56" i="88" s="1"/>
  <c r="A57" i="88" s="1"/>
  <c r="A58" i="88" s="1"/>
  <c r="A59" i="88" s="1"/>
  <c r="J15" i="86"/>
  <c r="K15" i="86"/>
  <c r="I16" i="86" s="1"/>
  <c r="F131" i="101" l="1"/>
  <c r="F130" i="101"/>
  <c r="M79" i="101"/>
  <c r="N79" i="101" s="1"/>
  <c r="A131" i="101"/>
  <c r="A132" i="101" s="1"/>
  <c r="A133" i="101" s="1"/>
  <c r="F133" i="101"/>
  <c r="L80" i="101"/>
  <c r="L17" i="101" s="1"/>
  <c r="K80" i="101"/>
  <c r="K17" i="101" s="1"/>
  <c r="K16" i="101"/>
  <c r="N78" i="101"/>
  <c r="L50" i="101"/>
  <c r="K50" i="101"/>
  <c r="M48" i="101"/>
  <c r="M15" i="101"/>
  <c r="N47" i="101"/>
  <c r="J284" i="90"/>
  <c r="K283" i="96"/>
  <c r="M151" i="94"/>
  <c r="L14" i="94"/>
  <c r="L15" i="94" s="1"/>
  <c r="L16" i="94" s="1"/>
  <c r="L17" i="94" s="1"/>
  <c r="L18" i="94" s="1"/>
  <c r="L19" i="94" s="1"/>
  <c r="L20" i="94" s="1"/>
  <c r="D14" i="89"/>
  <c r="D24" i="89" s="1"/>
  <c r="M157" i="93"/>
  <c r="E152" i="94"/>
  <c r="N152" i="94" s="1"/>
  <c r="E151" i="94"/>
  <c r="N151" i="94" s="1"/>
  <c r="N123" i="94"/>
  <c r="K55" i="90"/>
  <c r="K13" i="93"/>
  <c r="K14" i="93" s="1"/>
  <c r="K15" i="93" s="1"/>
  <c r="K16" i="93" s="1"/>
  <c r="K17" i="93" s="1"/>
  <c r="K18" i="93" s="1"/>
  <c r="K19" i="93" s="1"/>
  <c r="K20" i="93" s="1"/>
  <c r="K21" i="93" s="1"/>
  <c r="K22" i="93" s="1"/>
  <c r="M147" i="94"/>
  <c r="J60" i="92"/>
  <c r="J64" i="92" s="1"/>
  <c r="E68" i="92" s="1"/>
  <c r="M155" i="93"/>
  <c r="I13" i="94"/>
  <c r="I156" i="94"/>
  <c r="J94" i="98"/>
  <c r="J31" i="98" s="1"/>
  <c r="I31" i="98"/>
  <c r="J155" i="96"/>
  <c r="K154" i="96"/>
  <c r="J88" i="98"/>
  <c r="J25" i="98" s="1"/>
  <c r="I25" i="98"/>
  <c r="K156" i="94"/>
  <c r="K13" i="94"/>
  <c r="K14" i="94" s="1"/>
  <c r="K15" i="94" s="1"/>
  <c r="K16" i="94" s="1"/>
  <c r="K17" i="94" s="1"/>
  <c r="K18" i="94" s="1"/>
  <c r="K19" i="94" s="1"/>
  <c r="K20" i="94" s="1"/>
  <c r="K21" i="94" s="1"/>
  <c r="K22" i="94" s="1"/>
  <c r="K23" i="94" s="1"/>
  <c r="M148" i="93"/>
  <c r="J158" i="93"/>
  <c r="J12" i="93"/>
  <c r="M150" i="93"/>
  <c r="K284" i="96"/>
  <c r="J285" i="96"/>
  <c r="K380" i="96"/>
  <c r="J381" i="96"/>
  <c r="G68" i="92"/>
  <c r="A68" i="92"/>
  <c r="K188" i="96"/>
  <c r="J189" i="96"/>
  <c r="G156" i="94"/>
  <c r="G13" i="94"/>
  <c r="M154" i="94"/>
  <c r="M154" i="93"/>
  <c r="A94" i="97"/>
  <c r="A95" i="97" s="1"/>
  <c r="A96" i="97" s="1"/>
  <c r="A97" i="97" s="1"/>
  <c r="A98" i="97" s="1"/>
  <c r="A99" i="97" s="1"/>
  <c r="A100" i="97" s="1"/>
  <c r="A101" i="97" s="1"/>
  <c r="A102" i="97" s="1"/>
  <c r="A103" i="97" s="1"/>
  <c r="A104" i="97" s="1"/>
  <c r="A105" i="97" s="1"/>
  <c r="A106" i="97" s="1"/>
  <c r="A107" i="97" s="1"/>
  <c r="A117" i="97" s="1"/>
  <c r="H60" i="97"/>
  <c r="H61" i="97"/>
  <c r="H62" i="97"/>
  <c r="D19" i="93"/>
  <c r="D20" i="93" s="1"/>
  <c r="M145" i="94"/>
  <c r="N145" i="94" s="1"/>
  <c r="J78" i="98"/>
  <c r="J15" i="98" s="1"/>
  <c r="I15" i="98"/>
  <c r="I17" i="98"/>
  <c r="J80" i="98"/>
  <c r="J17" i="98" s="1"/>
  <c r="L24" i="93"/>
  <c r="J13" i="94"/>
  <c r="J14" i="94" s="1"/>
  <c r="J15" i="94" s="1"/>
  <c r="J16" i="94" s="1"/>
  <c r="J17" i="94" s="1"/>
  <c r="J18" i="94" s="1"/>
  <c r="J19" i="94" s="1"/>
  <c r="J20" i="94" s="1"/>
  <c r="J21" i="94" s="1"/>
  <c r="J22" i="94" s="1"/>
  <c r="J23" i="94" s="1"/>
  <c r="J156" i="94"/>
  <c r="M153" i="94"/>
  <c r="M46" i="98"/>
  <c r="M147" i="93"/>
  <c r="E12" i="93"/>
  <c r="E158" i="93"/>
  <c r="K90" i="96"/>
  <c r="J56" i="96"/>
  <c r="J91" i="96"/>
  <c r="K158" i="93"/>
  <c r="J317" i="96"/>
  <c r="K316" i="96"/>
  <c r="H64" i="92"/>
  <c r="M148" i="94"/>
  <c r="M146" i="94"/>
  <c r="F156" i="94"/>
  <c r="F13" i="94"/>
  <c r="F14" i="94" s="1"/>
  <c r="F15" i="94" s="1"/>
  <c r="F16" i="94" s="1"/>
  <c r="F17" i="94" s="1"/>
  <c r="F18" i="94" s="1"/>
  <c r="F19" i="94" s="1"/>
  <c r="F20" i="94" s="1"/>
  <c r="F21" i="94" s="1"/>
  <c r="F22" i="94" s="1"/>
  <c r="F23" i="94" s="1"/>
  <c r="F158" i="93"/>
  <c r="I34" i="98"/>
  <c r="J97" i="98"/>
  <c r="J34" i="98" s="1"/>
  <c r="D14" i="95"/>
  <c r="D24" i="95" s="1"/>
  <c r="J82" i="98"/>
  <c r="J19" i="98" s="1"/>
  <c r="I19" i="98"/>
  <c r="J125" i="96"/>
  <c r="K124" i="96"/>
  <c r="B171" i="93"/>
  <c r="A35" i="93"/>
  <c r="C158" i="93"/>
  <c r="M146" i="93"/>
  <c r="C12" i="93"/>
  <c r="M149" i="94"/>
  <c r="K76" i="98"/>
  <c r="K347" i="96"/>
  <c r="J348" i="96"/>
  <c r="K47" i="98"/>
  <c r="L47" i="98"/>
  <c r="J252" i="96"/>
  <c r="K251" i="96"/>
  <c r="J72" i="98"/>
  <c r="A119" i="98"/>
  <c r="M151" i="93"/>
  <c r="I12" i="93"/>
  <c r="I13" i="93" s="1"/>
  <c r="I14" i="93" s="1"/>
  <c r="I15" i="93" s="1"/>
  <c r="I16" i="93" s="1"/>
  <c r="I17" i="93" s="1"/>
  <c r="I18" i="93" s="1"/>
  <c r="I19" i="93" s="1"/>
  <c r="I20" i="93" s="1"/>
  <c r="I21" i="93" s="1"/>
  <c r="I22" i="93" s="1"/>
  <c r="I158" i="93"/>
  <c r="I14" i="98"/>
  <c r="J77" i="98"/>
  <c r="J14" i="98" s="1"/>
  <c r="M155" i="94"/>
  <c r="G158" i="93"/>
  <c r="M152" i="93"/>
  <c r="E154" i="94"/>
  <c r="E147" i="94"/>
  <c r="E150" i="94"/>
  <c r="E155" i="94"/>
  <c r="E153" i="94"/>
  <c r="E146" i="94"/>
  <c r="E149" i="94"/>
  <c r="M149" i="93"/>
  <c r="D15" i="93"/>
  <c r="D16" i="93" s="1"/>
  <c r="D17" i="93" s="1"/>
  <c r="D18" i="93" s="1"/>
  <c r="I18" i="98"/>
  <c r="J81" i="98"/>
  <c r="J18" i="98" s="1"/>
  <c r="H158" i="93"/>
  <c r="H12" i="93"/>
  <c r="E148" i="94"/>
  <c r="A170" i="95"/>
  <c r="A171" i="95" s="1"/>
  <c r="E13" i="95" s="1"/>
  <c r="F13" i="93"/>
  <c r="F14" i="93" s="1"/>
  <c r="F15" i="93" s="1"/>
  <c r="F16" i="93" s="1"/>
  <c r="F17" i="93" s="1"/>
  <c r="F18" i="93" s="1"/>
  <c r="F19" i="93" s="1"/>
  <c r="F20" i="93" s="1"/>
  <c r="F21" i="93" s="1"/>
  <c r="F22" i="93" s="1"/>
  <c r="M156" i="93"/>
  <c r="A23" i="92"/>
  <c r="H29" i="92"/>
  <c r="G53" i="94"/>
  <c r="A52" i="94"/>
  <c r="A53" i="94" s="1"/>
  <c r="A58" i="94" s="1"/>
  <c r="K55" i="96"/>
  <c r="D158" i="93"/>
  <c r="H13" i="94"/>
  <c r="H14" i="94" s="1"/>
  <c r="H15" i="94" s="1"/>
  <c r="H16" i="94" s="1"/>
  <c r="H17" i="94" s="1"/>
  <c r="H18" i="94" s="1"/>
  <c r="H19" i="94" s="1"/>
  <c r="H20" i="94" s="1"/>
  <c r="H21" i="94" s="1"/>
  <c r="H22" i="94" s="1"/>
  <c r="H23" i="94" s="1"/>
  <c r="H156" i="94"/>
  <c r="J13" i="93"/>
  <c r="J14" i="93" s="1"/>
  <c r="J15" i="93" s="1"/>
  <c r="J16" i="93" s="1"/>
  <c r="J17" i="93" s="1"/>
  <c r="J18" i="93" s="1"/>
  <c r="J19" i="93" s="1"/>
  <c r="J20" i="93" s="1"/>
  <c r="J21" i="93" s="1"/>
  <c r="J22" i="93" s="1"/>
  <c r="M144" i="94"/>
  <c r="M153" i="93"/>
  <c r="J220" i="96"/>
  <c r="K219" i="96"/>
  <c r="E144" i="94"/>
  <c r="L156" i="94"/>
  <c r="G13" i="93"/>
  <c r="G14" i="93" s="1"/>
  <c r="G15" i="93" s="1"/>
  <c r="G16" i="93" s="1"/>
  <c r="G17" i="93" s="1"/>
  <c r="G18" i="93" s="1"/>
  <c r="G19" i="93" s="1"/>
  <c r="G20" i="93" s="1"/>
  <c r="G21" i="93" s="1"/>
  <c r="G22" i="93" s="1"/>
  <c r="G14" i="94"/>
  <c r="G15" i="94" s="1"/>
  <c r="G16" i="94" s="1"/>
  <c r="G17" i="94" s="1"/>
  <c r="G18" i="94" s="1"/>
  <c r="G19" i="94" s="1"/>
  <c r="G20" i="94" s="1"/>
  <c r="G21" i="94" s="1"/>
  <c r="G22" i="94" s="1"/>
  <c r="G23" i="94" s="1"/>
  <c r="H63" i="88"/>
  <c r="A61" i="88"/>
  <c r="A63" i="88" s="1"/>
  <c r="A161" i="89"/>
  <c r="A162" i="89" s="1"/>
  <c r="A80" i="89"/>
  <c r="E10" i="89"/>
  <c r="K251" i="90"/>
  <c r="J252" i="90"/>
  <c r="J348" i="90"/>
  <c r="K347" i="90"/>
  <c r="K124" i="90"/>
  <c r="J125" i="90"/>
  <c r="J219" i="90"/>
  <c r="K218" i="90"/>
  <c r="H59" i="88"/>
  <c r="E24" i="89"/>
  <c r="K188" i="90"/>
  <c r="J189" i="90"/>
  <c r="J316" i="90"/>
  <c r="K315" i="90"/>
  <c r="J381" i="90"/>
  <c r="K380" i="90"/>
  <c r="J285" i="90"/>
  <c r="K284" i="90"/>
  <c r="J156" i="90"/>
  <c r="K155" i="90"/>
  <c r="J91" i="90"/>
  <c r="K90" i="90"/>
  <c r="J56" i="90"/>
  <c r="A24" i="88"/>
  <c r="A25" i="88" s="1"/>
  <c r="J16" i="86"/>
  <c r="K16" i="86"/>
  <c r="I17" i="86" s="1"/>
  <c r="N15" i="101" l="1"/>
  <c r="K51" i="101"/>
  <c r="L51" i="101"/>
  <c r="M49" i="101"/>
  <c r="M16" i="101"/>
  <c r="N48" i="101"/>
  <c r="N16" i="101" s="1"/>
  <c r="L18" i="101"/>
  <c r="M80" i="101"/>
  <c r="K81" i="101"/>
  <c r="K18" i="101" s="1"/>
  <c r="L81" i="101"/>
  <c r="N80" i="101"/>
  <c r="K24" i="93"/>
  <c r="D21" i="93"/>
  <c r="D22" i="93" s="1"/>
  <c r="D24" i="93"/>
  <c r="L21" i="94"/>
  <c r="L22" i="94" s="1"/>
  <c r="L23" i="94" s="1"/>
  <c r="L25" i="94"/>
  <c r="K220" i="96"/>
  <c r="J221" i="96"/>
  <c r="N153" i="94"/>
  <c r="N154" i="94"/>
  <c r="H13" i="93"/>
  <c r="H14" i="93" s="1"/>
  <c r="H15" i="93" s="1"/>
  <c r="H16" i="93" s="1"/>
  <c r="H17" i="93" s="1"/>
  <c r="H18" i="93" s="1"/>
  <c r="H19" i="93" s="1"/>
  <c r="H20" i="93" s="1"/>
  <c r="H21" i="93" s="1"/>
  <c r="H22" i="93" s="1"/>
  <c r="K348" i="96"/>
  <c r="J349" i="96"/>
  <c r="K77" i="98"/>
  <c r="N76" i="98"/>
  <c r="N13" i="98" s="1"/>
  <c r="L77" i="98"/>
  <c r="K13" i="98"/>
  <c r="M12" i="93"/>
  <c r="C13" i="93"/>
  <c r="B172" i="93"/>
  <c r="A36" i="93"/>
  <c r="E43" i="93"/>
  <c r="K155" i="96"/>
  <c r="J156" i="96"/>
  <c r="G24" i="93"/>
  <c r="N155" i="94"/>
  <c r="I24" i="93"/>
  <c r="M158" i="93"/>
  <c r="K317" i="96"/>
  <c r="J318" i="96"/>
  <c r="J92" i="96"/>
  <c r="K91" i="96"/>
  <c r="J57" i="96"/>
  <c r="M47" i="98"/>
  <c r="N47" i="98" s="1"/>
  <c r="A118" i="97"/>
  <c r="A119" i="97" s="1"/>
  <c r="A120" i="97" s="1"/>
  <c r="A121" i="97" s="1"/>
  <c r="A122" i="97" s="1"/>
  <c r="A123" i="97" s="1"/>
  <c r="A124" i="97" s="1"/>
  <c r="A125" i="97" s="1"/>
  <c r="A126" i="97" s="1"/>
  <c r="A127" i="97" s="1"/>
  <c r="A128" i="97" s="1"/>
  <c r="A129" i="97" s="1"/>
  <c r="A137" i="97" s="1"/>
  <c r="F69" i="97"/>
  <c r="G70" i="92"/>
  <c r="A69" i="92"/>
  <c r="A70" i="92" s="1"/>
  <c r="J382" i="96"/>
  <c r="K381" i="96"/>
  <c r="J24" i="93"/>
  <c r="E13" i="94"/>
  <c r="E156" i="94"/>
  <c r="N144" i="94"/>
  <c r="H25" i="94"/>
  <c r="A24" i="92"/>
  <c r="A25" i="92" s="1"/>
  <c r="H30" i="92"/>
  <c r="N148" i="94"/>
  <c r="N149" i="94"/>
  <c r="N150" i="94"/>
  <c r="L48" i="98"/>
  <c r="K48" i="98"/>
  <c r="F24" i="93"/>
  <c r="J286" i="96"/>
  <c r="K285" i="96"/>
  <c r="K25" i="94"/>
  <c r="I14" i="94"/>
  <c r="I15" i="94" s="1"/>
  <c r="I16" i="94" s="1"/>
  <c r="I17" i="94" s="1"/>
  <c r="I18" i="94" s="1"/>
  <c r="I19" i="94" s="1"/>
  <c r="I20" i="94" s="1"/>
  <c r="I21" i="94" s="1"/>
  <c r="I22" i="94" s="1"/>
  <c r="I23" i="94" s="1"/>
  <c r="M13" i="94"/>
  <c r="M156" i="94"/>
  <c r="A59" i="94"/>
  <c r="A60" i="94" s="1"/>
  <c r="A71" i="94" s="1"/>
  <c r="I171" i="95"/>
  <c r="N146" i="94"/>
  <c r="N147" i="94"/>
  <c r="E13" i="93"/>
  <c r="E14" i="93" s="1"/>
  <c r="E15" i="93" s="1"/>
  <c r="E16" i="93" s="1"/>
  <c r="E17" i="93" s="1"/>
  <c r="E18" i="93" s="1"/>
  <c r="E19" i="93" s="1"/>
  <c r="E20" i="93" s="1"/>
  <c r="E21" i="93" s="1"/>
  <c r="E22" i="93" s="1"/>
  <c r="A120" i="98"/>
  <c r="A121" i="98" s="1"/>
  <c r="A122" i="98" s="1"/>
  <c r="A123" i="98" s="1"/>
  <c r="A124" i="98" s="1"/>
  <c r="A125" i="98" s="1"/>
  <c r="A126" i="98" s="1"/>
  <c r="A127" i="98" s="1"/>
  <c r="A128" i="98" s="1"/>
  <c r="A129" i="98" s="1"/>
  <c r="A130" i="98" s="1"/>
  <c r="J253" i="96"/>
  <c r="K252" i="96"/>
  <c r="N46" i="98"/>
  <c r="J126" i="96"/>
  <c r="K125" i="96"/>
  <c r="F25" i="94"/>
  <c r="K56" i="96"/>
  <c r="J25" i="94"/>
  <c r="G25" i="94"/>
  <c r="K189" i="96"/>
  <c r="J190" i="96"/>
  <c r="J57" i="90"/>
  <c r="K91" i="90"/>
  <c r="J92" i="90"/>
  <c r="K219" i="90"/>
  <c r="J220" i="90"/>
  <c r="K348" i="90"/>
  <c r="J349" i="90"/>
  <c r="H30" i="88"/>
  <c r="K285" i="90"/>
  <c r="J286" i="90"/>
  <c r="K316" i="90"/>
  <c r="J317" i="90"/>
  <c r="K125" i="90"/>
  <c r="J126" i="90"/>
  <c r="J253" i="90"/>
  <c r="K252" i="90"/>
  <c r="A163" i="89"/>
  <c r="A164" i="89" s="1"/>
  <c r="E13" i="89" s="1"/>
  <c r="K156" i="90"/>
  <c r="J157" i="90"/>
  <c r="K189" i="90"/>
  <c r="J190" i="90"/>
  <c r="I162" i="89"/>
  <c r="K56" i="90"/>
  <c r="K381" i="90"/>
  <c r="J382" i="90"/>
  <c r="G67" i="88"/>
  <c r="A67" i="88"/>
  <c r="J17" i="86"/>
  <c r="K17" i="86" s="1"/>
  <c r="I18" i="86" s="1"/>
  <c r="K82" i="101" l="1"/>
  <c r="K19" i="101" s="1"/>
  <c r="L82" i="101"/>
  <c r="L19" i="101" s="1"/>
  <c r="M81" i="101"/>
  <c r="N81" i="101" s="1"/>
  <c r="M50" i="101"/>
  <c r="M17" i="101"/>
  <c r="N49" i="101"/>
  <c r="N17" i="101" s="1"/>
  <c r="L52" i="101"/>
  <c r="K52" i="101"/>
  <c r="E24" i="93"/>
  <c r="E73" i="92"/>
  <c r="J70" i="92" s="1"/>
  <c r="J127" i="96"/>
  <c r="K126" i="96"/>
  <c r="A131" i="98"/>
  <c r="A132" i="98" s="1"/>
  <c r="A133" i="98" s="1"/>
  <c r="M14" i="94"/>
  <c r="M15" i="94" s="1"/>
  <c r="M16" i="94" s="1"/>
  <c r="M17" i="94" s="1"/>
  <c r="M18" i="94" s="1"/>
  <c r="M19" i="94" s="1"/>
  <c r="M20" i="94" s="1"/>
  <c r="M21" i="94" s="1"/>
  <c r="M22" i="94" s="1"/>
  <c r="M23" i="94" s="1"/>
  <c r="K92" i="96"/>
  <c r="J93" i="96"/>
  <c r="J58" i="96"/>
  <c r="J191" i="96"/>
  <c r="K190" i="96"/>
  <c r="F130" i="98"/>
  <c r="A72" i="94"/>
  <c r="A73" i="94" s="1"/>
  <c r="A74" i="94" s="1"/>
  <c r="A75" i="94" s="1"/>
  <c r="A76" i="94" s="1"/>
  <c r="A77" i="94" s="1"/>
  <c r="A78" i="94" s="1"/>
  <c r="A79" i="94" s="1"/>
  <c r="A80" i="94" s="1"/>
  <c r="A81" i="94" s="1"/>
  <c r="A82" i="94" s="1"/>
  <c r="A83" i="94" s="1"/>
  <c r="A91" i="94" s="1"/>
  <c r="A92" i="94" s="1"/>
  <c r="A93" i="94" s="1"/>
  <c r="A94" i="94" s="1"/>
  <c r="A95" i="94" s="1"/>
  <c r="A96" i="94" s="1"/>
  <c r="A97" i="94" s="1"/>
  <c r="A98" i="94" s="1"/>
  <c r="A99" i="94" s="1"/>
  <c r="A100" i="94" s="1"/>
  <c r="A101" i="94" s="1"/>
  <c r="A102" i="94" s="1"/>
  <c r="A103" i="94" s="1"/>
  <c r="K286" i="96"/>
  <c r="J287" i="96"/>
  <c r="K49" i="98"/>
  <c r="L49" i="98"/>
  <c r="N156" i="94"/>
  <c r="M48" i="98"/>
  <c r="N48" i="98" s="1"/>
  <c r="J319" i="96"/>
  <c r="K318" i="96"/>
  <c r="A42" i="93"/>
  <c r="A43" i="93" s="1"/>
  <c r="A52" i="93" s="1"/>
  <c r="E42" i="93"/>
  <c r="K78" i="98"/>
  <c r="L78" i="98"/>
  <c r="L15" i="98" s="1"/>
  <c r="K14" i="98"/>
  <c r="H24" i="93"/>
  <c r="F131" i="98"/>
  <c r="G60" i="94"/>
  <c r="I25" i="94"/>
  <c r="K382" i="96"/>
  <c r="J383" i="96"/>
  <c r="K156" i="96"/>
  <c r="J157" i="96"/>
  <c r="K349" i="96"/>
  <c r="J350" i="96"/>
  <c r="J222" i="96"/>
  <c r="K221" i="96"/>
  <c r="J254" i="96"/>
  <c r="K253" i="96"/>
  <c r="N13" i="94"/>
  <c r="E14" i="94"/>
  <c r="A71" i="92"/>
  <c r="A72" i="92" s="1"/>
  <c r="G72" i="92"/>
  <c r="A138" i="97"/>
  <c r="A139" i="97" s="1"/>
  <c r="A140" i="97" s="1"/>
  <c r="A141" i="97" s="1"/>
  <c r="A142" i="97" s="1"/>
  <c r="A143" i="97" s="1"/>
  <c r="A144" i="97" s="1"/>
  <c r="A145" i="97" s="1"/>
  <c r="A146" i="97" s="1"/>
  <c r="A147" i="97" s="1"/>
  <c r="A148" i="97" s="1"/>
  <c r="A149" i="97" s="1"/>
  <c r="A157" i="97" s="1"/>
  <c r="H69" i="97"/>
  <c r="K57" i="96"/>
  <c r="M13" i="93"/>
  <c r="C14" i="93"/>
  <c r="M77" i="98"/>
  <c r="L14" i="98"/>
  <c r="A68" i="88"/>
  <c r="A69" i="88" s="1"/>
  <c r="K253" i="90"/>
  <c r="J254" i="90"/>
  <c r="J221" i="90"/>
  <c r="K220" i="90"/>
  <c r="K190" i="90"/>
  <c r="J191" i="90"/>
  <c r="J127" i="90"/>
  <c r="K126" i="90"/>
  <c r="J318" i="90"/>
  <c r="K317" i="90"/>
  <c r="J383" i="90"/>
  <c r="K382" i="90"/>
  <c r="I164" i="89"/>
  <c r="J350" i="90"/>
  <c r="K349" i="90"/>
  <c r="J93" i="90"/>
  <c r="J58" i="90"/>
  <c r="K92" i="90"/>
  <c r="J158" i="90"/>
  <c r="K157" i="90"/>
  <c r="K286" i="90"/>
  <c r="J287" i="90"/>
  <c r="K57" i="90"/>
  <c r="J18" i="86"/>
  <c r="K18" i="86" s="1"/>
  <c r="I19" i="86" s="1"/>
  <c r="L53" i="101" l="1"/>
  <c r="K53" i="101"/>
  <c r="M51" i="101"/>
  <c r="M18" i="101"/>
  <c r="N50" i="101"/>
  <c r="N18" i="101" s="1"/>
  <c r="L83" i="101"/>
  <c r="L20" i="101" s="1"/>
  <c r="K83" i="101"/>
  <c r="K20" i="101" s="1"/>
  <c r="M82" i="101"/>
  <c r="M83" i="101" s="1"/>
  <c r="D7" i="84"/>
  <c r="J72" i="92"/>
  <c r="M78" i="98"/>
  <c r="N78" i="98" s="1"/>
  <c r="N15" i="98" s="1"/>
  <c r="M14" i="98"/>
  <c r="N14" i="94"/>
  <c r="E15" i="94"/>
  <c r="J351" i="96"/>
  <c r="K350" i="96"/>
  <c r="J384" i="96"/>
  <c r="K383" i="96"/>
  <c r="K50" i="98"/>
  <c r="L50" i="98"/>
  <c r="A111" i="94"/>
  <c r="B175" i="94"/>
  <c r="K191" i="96"/>
  <c r="J192" i="96"/>
  <c r="K58" i="96"/>
  <c r="M14" i="93"/>
  <c r="C15" i="93"/>
  <c r="A158" i="97"/>
  <c r="A159" i="97" s="1"/>
  <c r="A160" i="97" s="1"/>
  <c r="A161" i="97" s="1"/>
  <c r="A162" i="97" s="1"/>
  <c r="A163" i="97" s="1"/>
  <c r="A164" i="97" s="1"/>
  <c r="A165" i="97" s="1"/>
  <c r="A166" i="97" s="1"/>
  <c r="A167" i="97" s="1"/>
  <c r="A168" i="97" s="1"/>
  <c r="A169" i="97" s="1"/>
  <c r="A176" i="97" s="1"/>
  <c r="A177" i="97" s="1"/>
  <c r="A178" i="97" s="1"/>
  <c r="A179" i="97" s="1"/>
  <c r="A180" i="97" s="1"/>
  <c r="A181" i="97" s="1"/>
  <c r="A182" i="97" s="1"/>
  <c r="A183" i="97" s="1"/>
  <c r="A184" i="97" s="1"/>
  <c r="A185" i="97" s="1"/>
  <c r="A186" i="97" s="1"/>
  <c r="A187" i="97" s="1"/>
  <c r="A188" i="97" s="1"/>
  <c r="A195" i="97" s="1"/>
  <c r="A196" i="97" s="1"/>
  <c r="A197" i="97" s="1"/>
  <c r="A198" i="97" s="1"/>
  <c r="A199" i="97" s="1"/>
  <c r="A200" i="97" s="1"/>
  <c r="A201" i="97" s="1"/>
  <c r="A202" i="97" s="1"/>
  <c r="A203" i="97" s="1"/>
  <c r="A204" i="97" s="1"/>
  <c r="A205" i="97" s="1"/>
  <c r="A206" i="97" s="1"/>
  <c r="A207" i="97" s="1"/>
  <c r="A214" i="97" s="1"/>
  <c r="A215" i="97" s="1"/>
  <c r="A216" i="97" s="1"/>
  <c r="A217" i="97" s="1"/>
  <c r="A218" i="97" s="1"/>
  <c r="A219" i="97" s="1"/>
  <c r="A220" i="97" s="1"/>
  <c r="A221" i="97" s="1"/>
  <c r="A222" i="97" s="1"/>
  <c r="A223" i="97" s="1"/>
  <c r="A224" i="97" s="1"/>
  <c r="A225" i="97" s="1"/>
  <c r="A226" i="97" s="1"/>
  <c r="A233" i="97" s="1"/>
  <c r="A234" i="97" s="1"/>
  <c r="A235" i="97" s="1"/>
  <c r="A236" i="97" s="1"/>
  <c r="A237" i="97" s="1"/>
  <c r="A238" i="97" s="1"/>
  <c r="A239" i="97" s="1"/>
  <c r="A240" i="97" s="1"/>
  <c r="A241" i="97" s="1"/>
  <c r="A242" i="97" s="1"/>
  <c r="A243" i="97" s="1"/>
  <c r="A244" i="97" s="1"/>
  <c r="A245" i="97" s="1"/>
  <c r="A252" i="97" s="1"/>
  <c r="A253" i="97" s="1"/>
  <c r="A254" i="97" s="1"/>
  <c r="A255" i="97" s="1"/>
  <c r="A256" i="97" s="1"/>
  <c r="A257" i="97" s="1"/>
  <c r="A258" i="97" s="1"/>
  <c r="A259" i="97" s="1"/>
  <c r="A260" i="97" s="1"/>
  <c r="A261" i="97" s="1"/>
  <c r="A262" i="97" s="1"/>
  <c r="A263" i="97" s="1"/>
  <c r="A264" i="97" s="1"/>
  <c r="A271" i="97" s="1"/>
  <c r="A272" i="97" s="1"/>
  <c r="A273" i="97" s="1"/>
  <c r="A274" i="97" s="1"/>
  <c r="A275" i="97" s="1"/>
  <c r="A276" i="97" s="1"/>
  <c r="A277" i="97" s="1"/>
  <c r="A278" i="97" s="1"/>
  <c r="A279" i="97" s="1"/>
  <c r="A280" i="97" s="1"/>
  <c r="A281" i="97" s="1"/>
  <c r="A282" i="97" s="1"/>
  <c r="A283" i="97" s="1"/>
  <c r="A290" i="97" s="1"/>
  <c r="A291" i="97" s="1"/>
  <c r="A292" i="97" s="1"/>
  <c r="A293" i="97" s="1"/>
  <c r="A294" i="97" s="1"/>
  <c r="A295" i="97" s="1"/>
  <c r="A296" i="97" s="1"/>
  <c r="A297" i="97" s="1"/>
  <c r="A298" i="97" s="1"/>
  <c r="A299" i="97" s="1"/>
  <c r="A300" i="97" s="1"/>
  <c r="A301" i="97" s="1"/>
  <c r="A302" i="97" s="1"/>
  <c r="A307" i="97" s="1"/>
  <c r="A308" i="97" s="1"/>
  <c r="A309" i="97" s="1"/>
  <c r="A312" i="97" s="1"/>
  <c r="A313" i="97" s="1"/>
  <c r="A314" i="97" s="1"/>
  <c r="A317" i="97" s="1"/>
  <c r="A318" i="97" s="1"/>
  <c r="A319" i="97" s="1"/>
  <c r="A320" i="97" s="1"/>
  <c r="A323" i="97" s="1"/>
  <c r="A324" i="97" s="1"/>
  <c r="A325" i="97" s="1"/>
  <c r="A326" i="97" s="1"/>
  <c r="A327" i="97" s="1"/>
  <c r="A330" i="97" s="1"/>
  <c r="A331" i="97" s="1"/>
  <c r="A332" i="97" s="1"/>
  <c r="A335" i="97" s="1"/>
  <c r="A336" i="97" s="1"/>
  <c r="A337" i="97" s="1"/>
  <c r="A340" i="97" s="1"/>
  <c r="A341" i="97" s="1"/>
  <c r="A342" i="97" s="1"/>
  <c r="A345" i="97" s="1"/>
  <c r="A346" i="97" s="1"/>
  <c r="A347" i="97" s="1"/>
  <c r="A350" i="97" s="1"/>
  <c r="A351" i="97" s="1"/>
  <c r="A352" i="97" s="1"/>
  <c r="A355" i="97" s="1"/>
  <c r="A356" i="97" s="1"/>
  <c r="A357" i="97" s="1"/>
  <c r="A360" i="97" s="1"/>
  <c r="A361" i="97" s="1"/>
  <c r="A362" i="97" s="1"/>
  <c r="A365" i="97" s="1"/>
  <c r="A366" i="97" s="1"/>
  <c r="A367" i="97" s="1"/>
  <c r="G69" i="97"/>
  <c r="J255" i="96"/>
  <c r="K254" i="96"/>
  <c r="K79" i="98"/>
  <c r="L79" i="98"/>
  <c r="L16" i="98" s="1"/>
  <c r="K15" i="98"/>
  <c r="J320" i="96"/>
  <c r="K319" i="96"/>
  <c r="K287" i="96"/>
  <c r="J288" i="96"/>
  <c r="F133" i="98"/>
  <c r="K157" i="96"/>
  <c r="J158" i="96"/>
  <c r="A73" i="92"/>
  <c r="G73" i="92"/>
  <c r="K222" i="96"/>
  <c r="J223" i="96"/>
  <c r="N77" i="98"/>
  <c r="N14" i="98" s="1"/>
  <c r="G56" i="93"/>
  <c r="A53" i="93"/>
  <c r="M49" i="98"/>
  <c r="B173" i="94"/>
  <c r="J94" i="96"/>
  <c r="J59" i="96"/>
  <c r="K93" i="96"/>
  <c r="M25" i="94"/>
  <c r="J128" i="96"/>
  <c r="K127" i="96"/>
  <c r="J59" i="90"/>
  <c r="K93" i="90"/>
  <c r="J94" i="90"/>
  <c r="K318" i="90"/>
  <c r="J319" i="90"/>
  <c r="K58" i="90"/>
  <c r="K350" i="90"/>
  <c r="J351" i="90"/>
  <c r="K127" i="90"/>
  <c r="J128" i="90"/>
  <c r="K221" i="90"/>
  <c r="J222" i="90"/>
  <c r="A70" i="88"/>
  <c r="A71" i="88" s="1"/>
  <c r="G71" i="88"/>
  <c r="K287" i="90"/>
  <c r="J288" i="90"/>
  <c r="K158" i="90"/>
  <c r="J159" i="90"/>
  <c r="K383" i="90"/>
  <c r="J384" i="90"/>
  <c r="K191" i="90"/>
  <c r="J192" i="90"/>
  <c r="J255" i="90"/>
  <c r="K254" i="90"/>
  <c r="G69" i="88"/>
  <c r="J19" i="86"/>
  <c r="K19" i="86"/>
  <c r="I20" i="86" s="1"/>
  <c r="L54" i="101" l="1"/>
  <c r="K54" i="101"/>
  <c r="N82" i="101"/>
  <c r="K84" i="101"/>
  <c r="N83" i="101"/>
  <c r="L84" i="101"/>
  <c r="M84" i="101" s="1"/>
  <c r="M52" i="101"/>
  <c r="M19" i="101"/>
  <c r="N51" i="101"/>
  <c r="K59" i="96"/>
  <c r="J256" i="96"/>
  <c r="K255" i="96"/>
  <c r="J193" i="96"/>
  <c r="K192" i="96"/>
  <c r="N15" i="94"/>
  <c r="E16" i="94"/>
  <c r="M50" i="98"/>
  <c r="M15" i="93"/>
  <c r="C16" i="93"/>
  <c r="N49" i="98"/>
  <c r="K384" i="96"/>
  <c r="J385" i="96"/>
  <c r="J129" i="96"/>
  <c r="K128" i="96"/>
  <c r="K94" i="96"/>
  <c r="J60" i="96"/>
  <c r="J95" i="96"/>
  <c r="J224" i="96"/>
  <c r="K223" i="96"/>
  <c r="J321" i="96"/>
  <c r="K320" i="96"/>
  <c r="L80" i="98"/>
  <c r="L17" i="98" s="1"/>
  <c r="K80" i="98"/>
  <c r="K16" i="98"/>
  <c r="G61" i="93"/>
  <c r="A56" i="93"/>
  <c r="J159" i="96"/>
  <c r="K158" i="96"/>
  <c r="K288" i="96"/>
  <c r="J289" i="96"/>
  <c r="B178" i="94"/>
  <c r="A112" i="94"/>
  <c r="A113" i="94" s="1"/>
  <c r="A114" i="94" s="1"/>
  <c r="A115" i="94" s="1"/>
  <c r="A116" i="94" s="1"/>
  <c r="A117" i="94" s="1"/>
  <c r="A118" i="94" s="1"/>
  <c r="A119" i="94" s="1"/>
  <c r="A120" i="94" s="1"/>
  <c r="A121" i="94" s="1"/>
  <c r="A122" i="94" s="1"/>
  <c r="A123" i="94" s="1"/>
  <c r="A129" i="94" s="1"/>
  <c r="L51" i="98"/>
  <c r="K51" i="98"/>
  <c r="K351" i="96"/>
  <c r="J352" i="96"/>
  <c r="M79" i="98"/>
  <c r="M15" i="98"/>
  <c r="K192" i="90"/>
  <c r="J193" i="90"/>
  <c r="J160" i="90"/>
  <c r="K159" i="90"/>
  <c r="K128" i="90"/>
  <c r="J129" i="90"/>
  <c r="A72" i="88"/>
  <c r="G72" i="88"/>
  <c r="J352" i="90"/>
  <c r="K351" i="90"/>
  <c r="J320" i="90"/>
  <c r="K319" i="90"/>
  <c r="J95" i="90"/>
  <c r="J60" i="90"/>
  <c r="K94" i="90"/>
  <c r="J385" i="90"/>
  <c r="K384" i="90"/>
  <c r="K288" i="90"/>
  <c r="J289" i="90"/>
  <c r="J223" i="90"/>
  <c r="K222" i="90"/>
  <c r="K59" i="90"/>
  <c r="K255" i="90"/>
  <c r="J256" i="90"/>
  <c r="J20" i="86"/>
  <c r="K20" i="86"/>
  <c r="I21" i="86" s="1"/>
  <c r="L85" i="101" l="1"/>
  <c r="M85" i="101" s="1"/>
  <c r="N84" i="101"/>
  <c r="K85" i="101"/>
  <c r="K21" i="101"/>
  <c r="M53" i="101"/>
  <c r="M20" i="101"/>
  <c r="N52" i="101"/>
  <c r="N20" i="101" s="1"/>
  <c r="L21" i="101"/>
  <c r="L22" i="101"/>
  <c r="N19" i="101"/>
  <c r="K55" i="101"/>
  <c r="L55" i="101"/>
  <c r="K60" i="96"/>
  <c r="M80" i="98"/>
  <c r="M16" i="98"/>
  <c r="K159" i="96"/>
  <c r="J160" i="96"/>
  <c r="K95" i="96"/>
  <c r="J61" i="96"/>
  <c r="J96" i="96"/>
  <c r="K129" i="96"/>
  <c r="J130" i="96"/>
  <c r="M16" i="93"/>
  <c r="C17" i="93"/>
  <c r="M51" i="98"/>
  <c r="J353" i="96"/>
  <c r="K352" i="96"/>
  <c r="N50" i="98"/>
  <c r="J290" i="96"/>
  <c r="K289" i="96"/>
  <c r="A57" i="93"/>
  <c r="A58" i="93" s="1"/>
  <c r="A61" i="93" s="1"/>
  <c r="N79" i="98"/>
  <c r="N16" i="98" s="1"/>
  <c r="K321" i="96"/>
  <c r="J322" i="96"/>
  <c r="J386" i="96"/>
  <c r="K385" i="96"/>
  <c r="N16" i="94"/>
  <c r="E17" i="94"/>
  <c r="K193" i="96"/>
  <c r="J194" i="96"/>
  <c r="K81" i="98"/>
  <c r="N80" i="98"/>
  <c r="N17" i="98" s="1"/>
  <c r="L81" i="98"/>
  <c r="L18" i="98" s="1"/>
  <c r="K17" i="98"/>
  <c r="N51" i="98"/>
  <c r="L52" i="98"/>
  <c r="K52" i="98"/>
  <c r="A133" i="94"/>
  <c r="A136" i="94" s="1"/>
  <c r="B176" i="94"/>
  <c r="K224" i="96"/>
  <c r="J225" i="96"/>
  <c r="J257" i="96"/>
  <c r="K256" i="96"/>
  <c r="J257" i="90"/>
  <c r="K256" i="90"/>
  <c r="J224" i="90"/>
  <c r="K223" i="90"/>
  <c r="K385" i="90"/>
  <c r="J386" i="90"/>
  <c r="J61" i="90"/>
  <c r="K95" i="90"/>
  <c r="J96" i="90"/>
  <c r="K352" i="90"/>
  <c r="J353" i="90"/>
  <c r="K160" i="90"/>
  <c r="J161" i="90"/>
  <c r="K289" i="90"/>
  <c r="J290" i="90"/>
  <c r="K129" i="90"/>
  <c r="J130" i="90"/>
  <c r="K193" i="90"/>
  <c r="J194" i="90"/>
  <c r="K60" i="90"/>
  <c r="K320" i="90"/>
  <c r="J321" i="90"/>
  <c r="J21" i="86"/>
  <c r="K21" i="86" s="1"/>
  <c r="I22" i="86" s="1"/>
  <c r="K56" i="101" l="1"/>
  <c r="L56" i="101"/>
  <c r="K86" i="101"/>
  <c r="N85" i="101"/>
  <c r="L86" i="101"/>
  <c r="M86" i="101" s="1"/>
  <c r="K22" i="101"/>
  <c r="M54" i="101"/>
  <c r="M21" i="101"/>
  <c r="N53" i="101"/>
  <c r="N21" i="101" s="1"/>
  <c r="J258" i="96"/>
  <c r="K257" i="96"/>
  <c r="K353" i="96"/>
  <c r="J354" i="96"/>
  <c r="M17" i="93"/>
  <c r="C18" i="93"/>
  <c r="K96" i="96"/>
  <c r="J62" i="96"/>
  <c r="J97" i="96"/>
  <c r="A144" i="94"/>
  <c r="B177" i="94"/>
  <c r="K194" i="96"/>
  <c r="J195" i="96"/>
  <c r="K290" i="96"/>
  <c r="J291" i="96"/>
  <c r="M52" i="98"/>
  <c r="N52" i="98" s="1"/>
  <c r="J226" i="96"/>
  <c r="K225" i="96"/>
  <c r="L53" i="98"/>
  <c r="K53" i="98"/>
  <c r="K386" i="96"/>
  <c r="J387" i="96"/>
  <c r="A62" i="93"/>
  <c r="A63" i="93" s="1"/>
  <c r="A74" i="93" s="1"/>
  <c r="J131" i="96"/>
  <c r="K130" i="96"/>
  <c r="K61" i="96"/>
  <c r="M81" i="98"/>
  <c r="N81" i="98" s="1"/>
  <c r="N18" i="98" s="1"/>
  <c r="M17" i="98"/>
  <c r="L82" i="98"/>
  <c r="L19" i="98" s="1"/>
  <c r="K82" i="98"/>
  <c r="K18" i="98"/>
  <c r="N17" i="94"/>
  <c r="E18" i="94"/>
  <c r="J323" i="96"/>
  <c r="K322" i="96"/>
  <c r="G58" i="93"/>
  <c r="J161" i="96"/>
  <c r="K160" i="96"/>
  <c r="J322" i="90"/>
  <c r="K321" i="90"/>
  <c r="J387" i="90"/>
  <c r="K386" i="90"/>
  <c r="K130" i="90"/>
  <c r="J131" i="90"/>
  <c r="J162" i="90"/>
  <c r="K161" i="90"/>
  <c r="J97" i="90"/>
  <c r="J62" i="90"/>
  <c r="K96" i="90"/>
  <c r="K257" i="90"/>
  <c r="J258" i="90"/>
  <c r="K61" i="90"/>
  <c r="K194" i="90"/>
  <c r="J195" i="90"/>
  <c r="K290" i="90"/>
  <c r="J291" i="90"/>
  <c r="J354" i="90"/>
  <c r="K353" i="90"/>
  <c r="J225" i="90"/>
  <c r="K224" i="90"/>
  <c r="J22" i="86"/>
  <c r="K22" i="86" s="1"/>
  <c r="I23" i="86" s="1"/>
  <c r="M22" i="101" l="1"/>
  <c r="M55" i="101"/>
  <c r="N54" i="101"/>
  <c r="N22" i="101" s="1"/>
  <c r="L87" i="101"/>
  <c r="M87" i="101" s="1"/>
  <c r="K87" i="101"/>
  <c r="N86" i="101"/>
  <c r="K57" i="101"/>
  <c r="K24" i="101"/>
  <c r="L57" i="101"/>
  <c r="L23" i="101"/>
  <c r="K23" i="101"/>
  <c r="A75" i="93"/>
  <c r="A76" i="93" s="1"/>
  <c r="A77" i="93" s="1"/>
  <c r="A78" i="93" s="1"/>
  <c r="A79" i="93" s="1"/>
  <c r="A80" i="93" s="1"/>
  <c r="A81" i="93" s="1"/>
  <c r="A82" i="93" s="1"/>
  <c r="A83" i="93" s="1"/>
  <c r="A84" i="93" s="1"/>
  <c r="A85" i="93" s="1"/>
  <c r="A86" i="93" s="1"/>
  <c r="A94" i="93" s="1"/>
  <c r="A95" i="93" s="1"/>
  <c r="A96" i="93" s="1"/>
  <c r="A97" i="93" s="1"/>
  <c r="A98" i="93" s="1"/>
  <c r="A99" i="93" s="1"/>
  <c r="A100" i="93" s="1"/>
  <c r="A101" i="93" s="1"/>
  <c r="A102" i="93" s="1"/>
  <c r="A103" i="93" s="1"/>
  <c r="A104" i="93" s="1"/>
  <c r="A105" i="93" s="1"/>
  <c r="A106" i="93" s="1"/>
  <c r="K291" i="96"/>
  <c r="J292" i="96"/>
  <c r="J355" i="96"/>
  <c r="K354" i="96"/>
  <c r="G63" i="93"/>
  <c r="J227" i="96"/>
  <c r="K226" i="96"/>
  <c r="K62" i="96"/>
  <c r="K161" i="96"/>
  <c r="J162" i="96"/>
  <c r="J324" i="96"/>
  <c r="K323" i="96"/>
  <c r="J132" i="96"/>
  <c r="K131" i="96"/>
  <c r="K387" i="96"/>
  <c r="J388" i="96"/>
  <c r="K54" i="98"/>
  <c r="L54" i="98"/>
  <c r="K195" i="96"/>
  <c r="J196" i="96"/>
  <c r="A145" i="94"/>
  <c r="A146" i="94" s="1"/>
  <c r="A147" i="94" s="1"/>
  <c r="A148" i="94" s="1"/>
  <c r="A149" i="94" s="1"/>
  <c r="A150" i="94" s="1"/>
  <c r="A151" i="94" s="1"/>
  <c r="A152" i="94" s="1"/>
  <c r="A153" i="94" s="1"/>
  <c r="A154" i="94" s="1"/>
  <c r="A155" i="94" s="1"/>
  <c r="A156" i="94" s="1"/>
  <c r="B179" i="94"/>
  <c r="M18" i="93"/>
  <c r="C19" i="93"/>
  <c r="N18" i="94"/>
  <c r="E19" i="94"/>
  <c r="K83" i="98"/>
  <c r="L83" i="98"/>
  <c r="L20" i="98" s="1"/>
  <c r="K19" i="98"/>
  <c r="M82" i="98"/>
  <c r="N82" i="98" s="1"/>
  <c r="N19" i="98" s="1"/>
  <c r="M18" i="98"/>
  <c r="M53" i="98"/>
  <c r="N53" i="98" s="1"/>
  <c r="J98" i="96"/>
  <c r="J63" i="96"/>
  <c r="K97" i="96"/>
  <c r="J259" i="96"/>
  <c r="K258" i="96"/>
  <c r="K291" i="90"/>
  <c r="J292" i="90"/>
  <c r="K62" i="90"/>
  <c r="K162" i="90"/>
  <c r="J163" i="90"/>
  <c r="K225" i="90"/>
  <c r="J226" i="90"/>
  <c r="K131" i="90"/>
  <c r="J132" i="90"/>
  <c r="K387" i="90"/>
  <c r="J388" i="90"/>
  <c r="J196" i="90"/>
  <c r="K195" i="90"/>
  <c r="J259" i="90"/>
  <c r="K258" i="90"/>
  <c r="J63" i="90"/>
  <c r="J98" i="90"/>
  <c r="K97" i="90"/>
  <c r="K354" i="90"/>
  <c r="J355" i="90"/>
  <c r="K322" i="90"/>
  <c r="J323" i="90"/>
  <c r="J23" i="86"/>
  <c r="K23" i="86"/>
  <c r="M56" i="101" l="1"/>
  <c r="M23" i="101"/>
  <c r="N55" i="101"/>
  <c r="N23" i="101" s="1"/>
  <c r="K88" i="101"/>
  <c r="N87" i="101"/>
  <c r="L88" i="101"/>
  <c r="M88" i="101" s="1"/>
  <c r="L58" i="101"/>
  <c r="K58" i="101"/>
  <c r="L24" i="101"/>
  <c r="N19" i="94"/>
  <c r="E20" i="94"/>
  <c r="K55" i="98"/>
  <c r="L55" i="98"/>
  <c r="J133" i="96"/>
  <c r="K132" i="96"/>
  <c r="K292" i="96"/>
  <c r="J293" i="96"/>
  <c r="K98" i="96"/>
  <c r="J64" i="96"/>
  <c r="J99" i="96"/>
  <c r="K388" i="96"/>
  <c r="J389" i="96"/>
  <c r="J260" i="96"/>
  <c r="K259" i="96"/>
  <c r="M54" i="98"/>
  <c r="M83" i="98"/>
  <c r="M19" i="98"/>
  <c r="L84" i="98"/>
  <c r="L21" i="98" s="1"/>
  <c r="K84" i="98"/>
  <c r="N83" i="98"/>
  <c r="N20" i="98" s="1"/>
  <c r="K20" i="98"/>
  <c r="J325" i="96"/>
  <c r="K324" i="96"/>
  <c r="A114" i="93"/>
  <c r="B177" i="93"/>
  <c r="K63" i="96"/>
  <c r="M19" i="93"/>
  <c r="C20" i="93"/>
  <c r="K196" i="96"/>
  <c r="J197" i="96"/>
  <c r="J163" i="96"/>
  <c r="K162" i="96"/>
  <c r="J228" i="96"/>
  <c r="K227" i="96"/>
  <c r="K355" i="96"/>
  <c r="J356" i="96"/>
  <c r="B175" i="93"/>
  <c r="J324" i="90"/>
  <c r="K323" i="90"/>
  <c r="J356" i="90"/>
  <c r="K355" i="90"/>
  <c r="K196" i="90"/>
  <c r="J197" i="90"/>
  <c r="J164" i="90"/>
  <c r="K163" i="90"/>
  <c r="J389" i="90"/>
  <c r="K388" i="90"/>
  <c r="J227" i="90"/>
  <c r="K226" i="90"/>
  <c r="K63" i="90"/>
  <c r="K259" i="90"/>
  <c r="J260" i="90"/>
  <c r="J99" i="90"/>
  <c r="K98" i="90"/>
  <c r="J64" i="90"/>
  <c r="K132" i="90"/>
  <c r="J133" i="90"/>
  <c r="J293" i="90"/>
  <c r="K292" i="90"/>
  <c r="D8" i="84"/>
  <c r="L25" i="101" l="1"/>
  <c r="K59" i="101"/>
  <c r="L59" i="101"/>
  <c r="L89" i="101"/>
  <c r="M89" i="101" s="1"/>
  <c r="N88" i="101"/>
  <c r="K89" i="101"/>
  <c r="M57" i="101"/>
  <c r="M24" i="101"/>
  <c r="N56" i="101"/>
  <c r="N24" i="101" s="1"/>
  <c r="K25" i="101"/>
  <c r="K64" i="96"/>
  <c r="K85" i="98"/>
  <c r="L85" i="98"/>
  <c r="L22" i="98" s="1"/>
  <c r="K21" i="98"/>
  <c r="M55" i="98"/>
  <c r="J390" i="96"/>
  <c r="K389" i="96"/>
  <c r="J229" i="96"/>
  <c r="K228" i="96"/>
  <c r="K197" i="96"/>
  <c r="J198" i="96"/>
  <c r="K325" i="96"/>
  <c r="J326" i="96"/>
  <c r="J134" i="96"/>
  <c r="K133" i="96"/>
  <c r="N55" i="98"/>
  <c r="K56" i="98"/>
  <c r="L56" i="98"/>
  <c r="K356" i="96"/>
  <c r="J357" i="96"/>
  <c r="J294" i="96"/>
  <c r="K293" i="96"/>
  <c r="N54" i="98"/>
  <c r="N20" i="94"/>
  <c r="E21" i="94"/>
  <c r="K163" i="96"/>
  <c r="J164" i="96"/>
  <c r="M20" i="93"/>
  <c r="C21" i="93"/>
  <c r="A115" i="93"/>
  <c r="A116" i="93" s="1"/>
  <c r="A117" i="93" s="1"/>
  <c r="A118" i="93" s="1"/>
  <c r="A119" i="93" s="1"/>
  <c r="A120" i="93" s="1"/>
  <c r="A121" i="93" s="1"/>
  <c r="A122" i="93" s="1"/>
  <c r="A123" i="93" s="1"/>
  <c r="A124" i="93" s="1"/>
  <c r="A125" i="93" s="1"/>
  <c r="A126" i="93" s="1"/>
  <c r="A131" i="93" s="1"/>
  <c r="M84" i="98"/>
  <c r="M20" i="98"/>
  <c r="J261" i="96"/>
  <c r="K260" i="96"/>
  <c r="J100" i="96"/>
  <c r="K99" i="96"/>
  <c r="K65" i="96" s="1"/>
  <c r="J65" i="96"/>
  <c r="K227" i="90"/>
  <c r="J228" i="90"/>
  <c r="K197" i="90"/>
  <c r="J198" i="90"/>
  <c r="K293" i="90"/>
  <c r="J294" i="90"/>
  <c r="K64" i="90"/>
  <c r="K133" i="90"/>
  <c r="J134" i="90"/>
  <c r="J65" i="90"/>
  <c r="K99" i="90"/>
  <c r="J100" i="90"/>
  <c r="K389" i="90"/>
  <c r="J390" i="90"/>
  <c r="J261" i="90"/>
  <c r="K260" i="90"/>
  <c r="K164" i="90"/>
  <c r="J165" i="90"/>
  <c r="K356" i="90"/>
  <c r="J357" i="90"/>
  <c r="K324" i="90"/>
  <c r="J325" i="90"/>
  <c r="H33" i="86"/>
  <c r="H29" i="86"/>
  <c r="H25" i="86"/>
  <c r="H32" i="86"/>
  <c r="H28" i="86"/>
  <c r="H24" i="86"/>
  <c r="H35" i="86"/>
  <c r="H31" i="86"/>
  <c r="H27" i="86"/>
  <c r="H34" i="86"/>
  <c r="H30" i="86"/>
  <c r="H26" i="86"/>
  <c r="L26" i="101" l="1"/>
  <c r="K90" i="101"/>
  <c r="N89" i="101"/>
  <c r="L90" i="101"/>
  <c r="M90" i="101" s="1"/>
  <c r="K26" i="101"/>
  <c r="L60" i="101"/>
  <c r="K60" i="101"/>
  <c r="M58" i="101"/>
  <c r="M25" i="101"/>
  <c r="N57" i="101"/>
  <c r="N25" i="101" s="1"/>
  <c r="M21" i="93"/>
  <c r="C22" i="93"/>
  <c r="N21" i="94"/>
  <c r="E22" i="94"/>
  <c r="K294" i="96"/>
  <c r="J295" i="96"/>
  <c r="J135" i="96"/>
  <c r="K134" i="96"/>
  <c r="K100" i="96"/>
  <c r="J101" i="96"/>
  <c r="J66" i="96"/>
  <c r="M85" i="98"/>
  <c r="N85" i="98" s="1"/>
  <c r="N22" i="98" s="1"/>
  <c r="M21" i="98"/>
  <c r="K357" i="96"/>
  <c r="J358" i="96"/>
  <c r="L57" i="98"/>
  <c r="K57" i="98"/>
  <c r="J327" i="96"/>
  <c r="K326" i="96"/>
  <c r="K390" i="96"/>
  <c r="J391" i="96"/>
  <c r="N84" i="98"/>
  <c r="N21" i="98" s="1"/>
  <c r="A135" i="93"/>
  <c r="A139" i="93" s="1"/>
  <c r="K164" i="96"/>
  <c r="J165" i="96"/>
  <c r="J230" i="96"/>
  <c r="K229" i="96"/>
  <c r="M56" i="98"/>
  <c r="J262" i="96"/>
  <c r="K261" i="96"/>
  <c r="B180" i="93"/>
  <c r="J199" i="96"/>
  <c r="K198" i="96"/>
  <c r="L86" i="98"/>
  <c r="L23" i="98" s="1"/>
  <c r="K86" i="98"/>
  <c r="K22" i="98"/>
  <c r="J135" i="90"/>
  <c r="K134" i="90"/>
  <c r="K198" i="90"/>
  <c r="J199" i="90"/>
  <c r="J358" i="90"/>
  <c r="K357" i="90"/>
  <c r="J101" i="90"/>
  <c r="J66" i="90"/>
  <c r="K100" i="90"/>
  <c r="K261" i="90"/>
  <c r="J262" i="90"/>
  <c r="K65" i="90"/>
  <c r="J229" i="90"/>
  <c r="K228" i="90"/>
  <c r="J326" i="90"/>
  <c r="K325" i="90"/>
  <c r="J166" i="90"/>
  <c r="K165" i="90"/>
  <c r="J391" i="90"/>
  <c r="K390" i="90"/>
  <c r="K294" i="90"/>
  <c r="J295" i="90"/>
  <c r="H36" i="86"/>
  <c r="I24" i="86"/>
  <c r="L27" i="101" l="1"/>
  <c r="M59" i="101"/>
  <c r="M26" i="101"/>
  <c r="N58" i="101"/>
  <c r="N26" i="101" s="1"/>
  <c r="L61" i="101"/>
  <c r="K28" i="101"/>
  <c r="K61" i="101"/>
  <c r="L91" i="101"/>
  <c r="M91" i="101" s="1"/>
  <c r="K91" i="101"/>
  <c r="N90" i="101"/>
  <c r="K27" i="101"/>
  <c r="K262" i="96"/>
  <c r="J263" i="96"/>
  <c r="J231" i="96"/>
  <c r="K230" i="96"/>
  <c r="A146" i="93"/>
  <c r="B179" i="93"/>
  <c r="J102" i="96"/>
  <c r="J67" i="96"/>
  <c r="K101" i="96"/>
  <c r="N22" i="94"/>
  <c r="E23" i="94"/>
  <c r="K165" i="96"/>
  <c r="J166" i="96"/>
  <c r="K58" i="98"/>
  <c r="L58" i="98"/>
  <c r="K66" i="96"/>
  <c r="J136" i="96"/>
  <c r="K135" i="96"/>
  <c r="M57" i="98"/>
  <c r="N57" i="98" s="1"/>
  <c r="K391" i="96"/>
  <c r="J392" i="96"/>
  <c r="J328" i="96"/>
  <c r="K327" i="96"/>
  <c r="M86" i="98"/>
  <c r="M22" i="98"/>
  <c r="K295" i="96"/>
  <c r="J296" i="96"/>
  <c r="M22" i="93"/>
  <c r="M24" i="93" s="1"/>
  <c r="D42" i="93" s="1"/>
  <c r="C24" i="93"/>
  <c r="K87" i="98"/>
  <c r="L87" i="98"/>
  <c r="L24" i="98" s="1"/>
  <c r="K23" i="98"/>
  <c r="K199" i="96"/>
  <c r="J200" i="96"/>
  <c r="B178" i="93"/>
  <c r="N56" i="98"/>
  <c r="J359" i="96"/>
  <c r="K358" i="96"/>
  <c r="K391" i="90"/>
  <c r="J392" i="90"/>
  <c r="J327" i="90"/>
  <c r="K326" i="90"/>
  <c r="J263" i="90"/>
  <c r="K262" i="90"/>
  <c r="J67" i="90"/>
  <c r="K101" i="90"/>
  <c r="J102" i="90"/>
  <c r="K295" i="90"/>
  <c r="J296" i="90"/>
  <c r="K135" i="90"/>
  <c r="J136" i="90"/>
  <c r="K166" i="90"/>
  <c r="J167" i="90"/>
  <c r="K229" i="90"/>
  <c r="J230" i="90"/>
  <c r="K66" i="90"/>
  <c r="K358" i="90"/>
  <c r="J359" i="90"/>
  <c r="K199" i="90"/>
  <c r="J200" i="90"/>
  <c r="J24" i="86"/>
  <c r="K24" i="86" s="1"/>
  <c r="I25" i="86" s="1"/>
  <c r="L28" i="101" l="1"/>
  <c r="L62" i="101"/>
  <c r="K62" i="101"/>
  <c r="K92" i="101"/>
  <c r="N91" i="101"/>
  <c r="L92" i="101"/>
  <c r="M92" i="101" s="1"/>
  <c r="L29" i="101"/>
  <c r="M60" i="101"/>
  <c r="M27" i="101"/>
  <c r="N59" i="101"/>
  <c r="N27" i="101" s="1"/>
  <c r="K67" i="96"/>
  <c r="M87" i="98"/>
  <c r="M23" i="98"/>
  <c r="K392" i="96"/>
  <c r="J393" i="96"/>
  <c r="L59" i="98"/>
  <c r="K59" i="98"/>
  <c r="J264" i="96"/>
  <c r="K263" i="96"/>
  <c r="K359" i="96"/>
  <c r="J360" i="96"/>
  <c r="J201" i="96"/>
  <c r="K200" i="96"/>
  <c r="N86" i="98"/>
  <c r="N23" i="98" s="1"/>
  <c r="K296" i="96"/>
  <c r="J297" i="96"/>
  <c r="J167" i="96"/>
  <c r="K166" i="96"/>
  <c r="A147" i="93"/>
  <c r="A148" i="93" s="1"/>
  <c r="A149" i="93" s="1"/>
  <c r="A150" i="93" s="1"/>
  <c r="A151" i="93" s="1"/>
  <c r="A152" i="93" s="1"/>
  <c r="A153" i="93" s="1"/>
  <c r="A154" i="93" s="1"/>
  <c r="A155" i="93" s="1"/>
  <c r="A156" i="93" s="1"/>
  <c r="A157" i="93" s="1"/>
  <c r="A158" i="93" s="1"/>
  <c r="B181" i="93"/>
  <c r="L88" i="98"/>
  <c r="L25" i="98" s="1"/>
  <c r="K88" i="98"/>
  <c r="K24" i="98"/>
  <c r="J137" i="96"/>
  <c r="K136" i="96"/>
  <c r="J329" i="96"/>
  <c r="K328" i="96"/>
  <c r="M58" i="98"/>
  <c r="N23" i="94"/>
  <c r="N25" i="94" s="1"/>
  <c r="E25" i="94"/>
  <c r="K102" i="96"/>
  <c r="J68" i="96"/>
  <c r="J103" i="96"/>
  <c r="J232" i="96"/>
  <c r="K231" i="96"/>
  <c r="K200" i="90"/>
  <c r="J201" i="90"/>
  <c r="K327" i="90"/>
  <c r="J328" i="90"/>
  <c r="J168" i="90"/>
  <c r="K167" i="90"/>
  <c r="J103" i="90"/>
  <c r="J68" i="90"/>
  <c r="K102" i="90"/>
  <c r="J393" i="90"/>
  <c r="K392" i="90"/>
  <c r="K67" i="90"/>
  <c r="J264" i="90"/>
  <c r="K263" i="90"/>
  <c r="J360" i="90"/>
  <c r="K359" i="90"/>
  <c r="J231" i="90"/>
  <c r="K230" i="90"/>
  <c r="K136" i="90"/>
  <c r="J137" i="90"/>
  <c r="K296" i="90"/>
  <c r="J297" i="90"/>
  <c r="J25" i="86"/>
  <c r="K25" i="86" s="1"/>
  <c r="I26" i="86" s="1"/>
  <c r="L93" i="101" l="1"/>
  <c r="M93" i="101" s="1"/>
  <c r="N92" i="101"/>
  <c r="K93" i="101"/>
  <c r="K29" i="101"/>
  <c r="M61" i="101"/>
  <c r="M28" i="101"/>
  <c r="N60" i="101"/>
  <c r="N28" i="101" s="1"/>
  <c r="K63" i="101"/>
  <c r="L63" i="101"/>
  <c r="J233" i="96"/>
  <c r="K232" i="96"/>
  <c r="M59" i="98"/>
  <c r="K167" i="96"/>
  <c r="J168" i="96"/>
  <c r="J298" i="96"/>
  <c r="K297" i="96"/>
  <c r="K201" i="96"/>
  <c r="J202" i="96"/>
  <c r="J265" i="96"/>
  <c r="K264" i="96"/>
  <c r="M88" i="98"/>
  <c r="M24" i="98"/>
  <c r="K103" i="96"/>
  <c r="J69" i="96"/>
  <c r="J104" i="96"/>
  <c r="N87" i="98"/>
  <c r="N24" i="98" s="1"/>
  <c r="K360" i="96"/>
  <c r="J361" i="96"/>
  <c r="L60" i="98"/>
  <c r="K60" i="98"/>
  <c r="J394" i="96"/>
  <c r="K393" i="96"/>
  <c r="J330" i="96"/>
  <c r="K329" i="96"/>
  <c r="K137" i="96"/>
  <c r="J138" i="96"/>
  <c r="K89" i="98"/>
  <c r="L89" i="98"/>
  <c r="L26" i="98" s="1"/>
  <c r="K25" i="98"/>
  <c r="N58" i="98"/>
  <c r="K68" i="96"/>
  <c r="J232" i="90"/>
  <c r="K231" i="90"/>
  <c r="K393" i="90"/>
  <c r="J394" i="90"/>
  <c r="K137" i="90"/>
  <c r="J138" i="90"/>
  <c r="J265" i="90"/>
  <c r="K264" i="90"/>
  <c r="K68" i="90"/>
  <c r="J169" i="90"/>
  <c r="K168" i="90"/>
  <c r="K360" i="90"/>
  <c r="J361" i="90"/>
  <c r="K328" i="90"/>
  <c r="J329" i="90"/>
  <c r="K201" i="90"/>
  <c r="J202" i="90"/>
  <c r="K297" i="90"/>
  <c r="J298" i="90"/>
  <c r="J69" i="90"/>
  <c r="K103" i="90"/>
  <c r="J104" i="90"/>
  <c r="J26" i="86"/>
  <c r="K26" i="86" s="1"/>
  <c r="I27" i="86" s="1"/>
  <c r="K94" i="101" l="1"/>
  <c r="N93" i="101"/>
  <c r="L94" i="101"/>
  <c r="M94" i="101" s="1"/>
  <c r="K64" i="101"/>
  <c r="K31" i="101"/>
  <c r="L64" i="101"/>
  <c r="M62" i="101"/>
  <c r="M29" i="101"/>
  <c r="N61" i="101"/>
  <c r="N29" i="101" s="1"/>
  <c r="K30" i="101"/>
  <c r="L30" i="101"/>
  <c r="J139" i="96"/>
  <c r="K138" i="96"/>
  <c r="J266" i="96"/>
  <c r="K265" i="96"/>
  <c r="K298" i="96"/>
  <c r="J299" i="96"/>
  <c r="M60" i="98"/>
  <c r="K394" i="96"/>
  <c r="J395" i="96"/>
  <c r="N59" i="98"/>
  <c r="K104" i="96"/>
  <c r="J70" i="96"/>
  <c r="J105" i="96"/>
  <c r="M89" i="98"/>
  <c r="M25" i="98"/>
  <c r="J203" i="96"/>
  <c r="K202" i="96"/>
  <c r="J169" i="96"/>
  <c r="K168" i="96"/>
  <c r="N88" i="98"/>
  <c r="N25" i="98" s="1"/>
  <c r="L61" i="98"/>
  <c r="K61" i="98"/>
  <c r="K361" i="96"/>
  <c r="J362" i="96"/>
  <c r="L90" i="98"/>
  <c r="L27" i="98" s="1"/>
  <c r="K90" i="98"/>
  <c r="K26" i="98"/>
  <c r="J331" i="96"/>
  <c r="K330" i="96"/>
  <c r="K69" i="96"/>
  <c r="J234" i="96"/>
  <c r="K233" i="96"/>
  <c r="J105" i="90"/>
  <c r="J70" i="90"/>
  <c r="K104" i="90"/>
  <c r="J170" i="90"/>
  <c r="K169" i="90"/>
  <c r="K138" i="90"/>
  <c r="J139" i="90"/>
  <c r="J395" i="90"/>
  <c r="K394" i="90"/>
  <c r="J233" i="90"/>
  <c r="K232" i="90"/>
  <c r="K69" i="90"/>
  <c r="K202" i="90"/>
  <c r="J203" i="90"/>
  <c r="J362" i="90"/>
  <c r="K361" i="90"/>
  <c r="K298" i="90"/>
  <c r="J299" i="90"/>
  <c r="K329" i="90"/>
  <c r="J330" i="90"/>
  <c r="K265" i="90"/>
  <c r="J266" i="90"/>
  <c r="J27" i="86"/>
  <c r="K27" i="86" s="1"/>
  <c r="I28" i="86" s="1"/>
  <c r="L31" i="101" l="1"/>
  <c r="K65" i="101"/>
  <c r="L65" i="101"/>
  <c r="L95" i="101"/>
  <c r="M95" i="101" s="1"/>
  <c r="K95" i="101"/>
  <c r="N94" i="101"/>
  <c r="M30" i="101"/>
  <c r="M63" i="101"/>
  <c r="N62" i="101"/>
  <c r="N30" i="101" s="1"/>
  <c r="L32" i="101"/>
  <c r="J235" i="96"/>
  <c r="K234" i="96"/>
  <c r="K203" i="96"/>
  <c r="J204" i="96"/>
  <c r="K91" i="98"/>
  <c r="L91" i="98"/>
  <c r="L28" i="98" s="1"/>
  <c r="K27" i="98"/>
  <c r="J363" i="96"/>
  <c r="K362" i="96"/>
  <c r="K62" i="98"/>
  <c r="L62" i="98"/>
  <c r="K70" i="96"/>
  <c r="K169" i="96"/>
  <c r="J170" i="96"/>
  <c r="M90" i="98"/>
  <c r="M26" i="98"/>
  <c r="M61" i="98"/>
  <c r="J267" i="96"/>
  <c r="K266" i="96"/>
  <c r="J140" i="96"/>
  <c r="K139" i="96"/>
  <c r="J332" i="96"/>
  <c r="K331" i="96"/>
  <c r="N89" i="98"/>
  <c r="N26" i="98" s="1"/>
  <c r="N60" i="98"/>
  <c r="J106" i="96"/>
  <c r="J71" i="96"/>
  <c r="K105" i="96"/>
  <c r="K395" i="96"/>
  <c r="J396" i="96"/>
  <c r="J300" i="96"/>
  <c r="K299" i="96"/>
  <c r="J267" i="90"/>
  <c r="K266" i="90"/>
  <c r="K299" i="90"/>
  <c r="J300" i="90"/>
  <c r="J204" i="90"/>
  <c r="K203" i="90"/>
  <c r="K233" i="90"/>
  <c r="J234" i="90"/>
  <c r="J106" i="90"/>
  <c r="J71" i="90"/>
  <c r="K105" i="90"/>
  <c r="J331" i="90"/>
  <c r="K330" i="90"/>
  <c r="K395" i="90"/>
  <c r="J396" i="90"/>
  <c r="K170" i="90"/>
  <c r="J171" i="90"/>
  <c r="K362" i="90"/>
  <c r="J363" i="90"/>
  <c r="K139" i="90"/>
  <c r="J140" i="90"/>
  <c r="K70" i="90"/>
  <c r="J28" i="86"/>
  <c r="K28" i="86" s="1"/>
  <c r="I29" i="86" s="1"/>
  <c r="L66" i="101" l="1"/>
  <c r="K66" i="101"/>
  <c r="K96" i="101"/>
  <c r="N95" i="101"/>
  <c r="L96" i="101"/>
  <c r="M96" i="101" s="1"/>
  <c r="K32" i="101"/>
  <c r="M64" i="101"/>
  <c r="M31" i="101"/>
  <c r="N63" i="101"/>
  <c r="N31" i="101" s="1"/>
  <c r="K71" i="96"/>
  <c r="M91" i="98"/>
  <c r="N91" i="98" s="1"/>
  <c r="N28" i="98" s="1"/>
  <c r="M27" i="98"/>
  <c r="N90" i="98"/>
  <c r="N27" i="98" s="1"/>
  <c r="J141" i="96"/>
  <c r="K140" i="96"/>
  <c r="M62" i="98"/>
  <c r="J171" i="96"/>
  <c r="K170" i="96"/>
  <c r="N61" i="98"/>
  <c r="K363" i="96"/>
  <c r="J364" i="96"/>
  <c r="L92" i="98"/>
  <c r="L29" i="98" s="1"/>
  <c r="K92" i="98"/>
  <c r="K28" i="98"/>
  <c r="J236" i="96"/>
  <c r="K235" i="96"/>
  <c r="K300" i="96"/>
  <c r="J301" i="96"/>
  <c r="K204" i="96"/>
  <c r="J205" i="96"/>
  <c r="K396" i="96"/>
  <c r="J397" i="96"/>
  <c r="K106" i="96"/>
  <c r="J72" i="96"/>
  <c r="J107" i="96"/>
  <c r="J333" i="96"/>
  <c r="K332" i="96"/>
  <c r="J268" i="96"/>
  <c r="K267" i="96"/>
  <c r="K63" i="98"/>
  <c r="L63" i="98"/>
  <c r="K140" i="90"/>
  <c r="J141" i="90"/>
  <c r="J172" i="90"/>
  <c r="K171" i="90"/>
  <c r="K331" i="90"/>
  <c r="J332" i="90"/>
  <c r="J107" i="90"/>
  <c r="K106" i="90"/>
  <c r="J72" i="90"/>
  <c r="J301" i="90"/>
  <c r="K300" i="90"/>
  <c r="K204" i="90"/>
  <c r="J205" i="90"/>
  <c r="J364" i="90"/>
  <c r="K363" i="90"/>
  <c r="J397" i="90"/>
  <c r="K396" i="90"/>
  <c r="K71" i="90"/>
  <c r="J235" i="90"/>
  <c r="K234" i="90"/>
  <c r="K267" i="90"/>
  <c r="J268" i="90"/>
  <c r="J29" i="86"/>
  <c r="K29" i="86" s="1"/>
  <c r="I30" i="86" s="1"/>
  <c r="K67" i="101" l="1"/>
  <c r="K34" i="101"/>
  <c r="L67" i="101"/>
  <c r="M65" i="101"/>
  <c r="M32" i="101"/>
  <c r="N64" i="101"/>
  <c r="N32" i="101" s="1"/>
  <c r="L97" i="101"/>
  <c r="M97" i="101" s="1"/>
  <c r="N96" i="101"/>
  <c r="K97" i="101"/>
  <c r="L34" i="101"/>
  <c r="L33" i="101"/>
  <c r="K33" i="101"/>
  <c r="J108" i="96"/>
  <c r="K107" i="96"/>
  <c r="J73" i="96"/>
  <c r="J302" i="96"/>
  <c r="K301" i="96"/>
  <c r="K364" i="96"/>
  <c r="J365" i="96"/>
  <c r="J269" i="96"/>
  <c r="K268" i="96"/>
  <c r="K205" i="96"/>
  <c r="J206" i="96"/>
  <c r="J172" i="96"/>
  <c r="K171" i="96"/>
  <c r="J142" i="96"/>
  <c r="K141" i="96"/>
  <c r="M92" i="98"/>
  <c r="N92" i="98" s="1"/>
  <c r="N29" i="98" s="1"/>
  <c r="M28" i="98"/>
  <c r="L64" i="98"/>
  <c r="K64" i="98"/>
  <c r="K72" i="96"/>
  <c r="K93" i="98"/>
  <c r="L93" i="98"/>
  <c r="L30" i="98" s="1"/>
  <c r="K29" i="98"/>
  <c r="M63" i="98"/>
  <c r="N63" i="98" s="1"/>
  <c r="N62" i="98"/>
  <c r="J334" i="96"/>
  <c r="K333" i="96"/>
  <c r="J398" i="96"/>
  <c r="K397" i="96"/>
  <c r="J237" i="96"/>
  <c r="K236" i="96"/>
  <c r="K235" i="90"/>
  <c r="J236" i="90"/>
  <c r="K397" i="90"/>
  <c r="J398" i="90"/>
  <c r="K301" i="90"/>
  <c r="J302" i="90"/>
  <c r="K332" i="90"/>
  <c r="J333" i="90"/>
  <c r="J269" i="90"/>
  <c r="K268" i="90"/>
  <c r="K364" i="90"/>
  <c r="J365" i="90"/>
  <c r="K72" i="90"/>
  <c r="K172" i="90"/>
  <c r="J173" i="90"/>
  <c r="K205" i="90"/>
  <c r="J206" i="90"/>
  <c r="J73" i="90"/>
  <c r="K107" i="90"/>
  <c r="J108" i="90"/>
  <c r="K141" i="90"/>
  <c r="J142" i="90"/>
  <c r="J30" i="86"/>
  <c r="K30" i="86"/>
  <c r="I31" i="86" s="1"/>
  <c r="K98" i="101" l="1"/>
  <c r="N97" i="101"/>
  <c r="L98" i="101"/>
  <c r="M98" i="101" s="1"/>
  <c r="M33" i="101"/>
  <c r="M66" i="101"/>
  <c r="N65" i="101"/>
  <c r="N33" i="101" s="1"/>
  <c r="L68" i="101"/>
  <c r="K68" i="101"/>
  <c r="J238" i="96"/>
  <c r="K237" i="96"/>
  <c r="J335" i="96"/>
  <c r="K334" i="96"/>
  <c r="K94" i="98"/>
  <c r="L94" i="98"/>
  <c r="L31" i="98" s="1"/>
  <c r="K30" i="98"/>
  <c r="J207" i="96"/>
  <c r="K206" i="96"/>
  <c r="K302" i="96"/>
  <c r="J303" i="96"/>
  <c r="J143" i="96"/>
  <c r="K142" i="96"/>
  <c r="K365" i="96"/>
  <c r="J366" i="96"/>
  <c r="K398" i="96"/>
  <c r="J399" i="96"/>
  <c r="L65" i="98"/>
  <c r="K65" i="98"/>
  <c r="K73" i="96"/>
  <c r="M64" i="98"/>
  <c r="M93" i="98"/>
  <c r="N93" i="98" s="1"/>
  <c r="N30" i="98" s="1"/>
  <c r="M29" i="98"/>
  <c r="J173" i="96"/>
  <c r="K172" i="96"/>
  <c r="J270" i="96"/>
  <c r="K269" i="96"/>
  <c r="K108" i="96"/>
  <c r="J109" i="96"/>
  <c r="J74" i="96"/>
  <c r="K73" i="90"/>
  <c r="J174" i="90"/>
  <c r="K173" i="90"/>
  <c r="J366" i="90"/>
  <c r="K365" i="90"/>
  <c r="J143" i="90"/>
  <c r="K142" i="90"/>
  <c r="K269" i="90"/>
  <c r="J270" i="90"/>
  <c r="K333" i="90"/>
  <c r="J334" i="90"/>
  <c r="J399" i="90"/>
  <c r="K398" i="90"/>
  <c r="K206" i="90"/>
  <c r="J207" i="90"/>
  <c r="J109" i="90"/>
  <c r="J74" i="90"/>
  <c r="K108" i="90"/>
  <c r="K302" i="90"/>
  <c r="J303" i="90"/>
  <c r="J237" i="90"/>
  <c r="K236" i="90"/>
  <c r="J31" i="86"/>
  <c r="K31" i="86" s="1"/>
  <c r="I32" i="86" s="1"/>
  <c r="L35" i="101" l="1"/>
  <c r="K36" i="101"/>
  <c r="K37" i="101" s="1"/>
  <c r="M34" i="101"/>
  <c r="M67" i="101"/>
  <c r="N66" i="101"/>
  <c r="N34" i="101" s="1"/>
  <c r="L99" i="101"/>
  <c r="M99" i="101" s="1"/>
  <c r="K99" i="101"/>
  <c r="N98" i="101"/>
  <c r="K35" i="101"/>
  <c r="J110" i="96"/>
  <c r="J75" i="96"/>
  <c r="K109" i="96"/>
  <c r="K66" i="98"/>
  <c r="L66" i="98"/>
  <c r="J400" i="96"/>
  <c r="K399" i="96"/>
  <c r="K303" i="96"/>
  <c r="J304" i="96"/>
  <c r="K304" i="96" s="1"/>
  <c r="K74" i="96"/>
  <c r="J174" i="96"/>
  <c r="K173" i="96"/>
  <c r="J144" i="96"/>
  <c r="K143" i="96"/>
  <c r="J336" i="96"/>
  <c r="K335" i="96"/>
  <c r="M65" i="98"/>
  <c r="N64" i="98"/>
  <c r="J367" i="96"/>
  <c r="K366" i="96"/>
  <c r="K270" i="96"/>
  <c r="J271" i="96"/>
  <c r="M94" i="98"/>
  <c r="N94" i="98" s="1"/>
  <c r="N31" i="98" s="1"/>
  <c r="M30" i="98"/>
  <c r="K207" i="96"/>
  <c r="J208" i="96"/>
  <c r="K95" i="98"/>
  <c r="L95" i="98"/>
  <c r="L32" i="98" s="1"/>
  <c r="K31" i="98"/>
  <c r="J239" i="96"/>
  <c r="K238" i="96"/>
  <c r="J75" i="90"/>
  <c r="K109" i="90"/>
  <c r="J110" i="90"/>
  <c r="K399" i="90"/>
  <c r="J400" i="90"/>
  <c r="K237" i="90"/>
  <c r="J238" i="90"/>
  <c r="K207" i="90"/>
  <c r="J208" i="90"/>
  <c r="K334" i="90"/>
  <c r="J335" i="90"/>
  <c r="K174" i="90"/>
  <c r="J175" i="90"/>
  <c r="K303" i="90"/>
  <c r="J304" i="90"/>
  <c r="K304" i="90" s="1"/>
  <c r="K74" i="90"/>
  <c r="K143" i="90"/>
  <c r="J144" i="90"/>
  <c r="J271" i="90"/>
  <c r="K270" i="90"/>
  <c r="K366" i="90"/>
  <c r="J367" i="90"/>
  <c r="J32" i="86"/>
  <c r="K32" i="86" s="1"/>
  <c r="I33" i="86" s="1"/>
  <c r="J33" i="86" s="1"/>
  <c r="M68" i="101" l="1"/>
  <c r="M35" i="101"/>
  <c r="N67" i="101"/>
  <c r="N35" i="101" s="1"/>
  <c r="L36" i="101"/>
  <c r="N99" i="101"/>
  <c r="K305" i="90"/>
  <c r="K305" i="96"/>
  <c r="M66" i="98"/>
  <c r="N66" i="98" s="1"/>
  <c r="K400" i="96"/>
  <c r="J401" i="96"/>
  <c r="K401" i="96" s="1"/>
  <c r="K67" i="98"/>
  <c r="L67" i="98"/>
  <c r="J240" i="96"/>
  <c r="K240" i="96" s="1"/>
  <c r="K239" i="96"/>
  <c r="L96" i="98"/>
  <c r="L33" i="98" s="1"/>
  <c r="K96" i="98"/>
  <c r="K32" i="98"/>
  <c r="J145" i="96"/>
  <c r="K145" i="96" s="1"/>
  <c r="K144" i="96"/>
  <c r="K75" i="96"/>
  <c r="J209" i="96"/>
  <c r="K209" i="96" s="1"/>
  <c r="K208" i="96"/>
  <c r="M95" i="98"/>
  <c r="M31" i="98"/>
  <c r="K367" i="96"/>
  <c r="J368" i="96"/>
  <c r="K368" i="96" s="1"/>
  <c r="J272" i="96"/>
  <c r="K271" i="96"/>
  <c r="J337" i="96"/>
  <c r="K337" i="96" s="1"/>
  <c r="K336" i="96"/>
  <c r="J175" i="96"/>
  <c r="K174" i="96"/>
  <c r="N65" i="98"/>
  <c r="K110" i="96"/>
  <c r="J76" i="96"/>
  <c r="J111" i="96"/>
  <c r="J368" i="90"/>
  <c r="K368" i="90" s="1"/>
  <c r="K367" i="90"/>
  <c r="J176" i="90"/>
  <c r="K176" i="90" s="1"/>
  <c r="K175" i="90"/>
  <c r="K208" i="90"/>
  <c r="J209" i="90"/>
  <c r="K209" i="90" s="1"/>
  <c r="K210" i="90" s="1"/>
  <c r="J111" i="90"/>
  <c r="J76" i="90"/>
  <c r="K110" i="90"/>
  <c r="K75" i="90"/>
  <c r="J272" i="90"/>
  <c r="K271" i="90"/>
  <c r="K335" i="90"/>
  <c r="J336" i="90"/>
  <c r="J401" i="90"/>
  <c r="K401" i="90" s="1"/>
  <c r="K400" i="90"/>
  <c r="K144" i="90"/>
  <c r="J145" i="90"/>
  <c r="K145" i="90" s="1"/>
  <c r="K146" i="90" s="1"/>
  <c r="J239" i="90"/>
  <c r="K238" i="90"/>
  <c r="K33" i="86"/>
  <c r="I34" i="86" s="1"/>
  <c r="J34" i="86" s="1"/>
  <c r="M36" i="101" l="1"/>
  <c r="N68" i="101"/>
  <c r="N36" i="101" s="1"/>
  <c r="N37" i="101" s="1"/>
  <c r="K402" i="90"/>
  <c r="K338" i="96"/>
  <c r="K402" i="96"/>
  <c r="K369" i="96"/>
  <c r="K97" i="98"/>
  <c r="L97" i="98"/>
  <c r="L34" i="98" s="1"/>
  <c r="K33" i="98"/>
  <c r="K111" i="96"/>
  <c r="J77" i="96"/>
  <c r="J112" i="96"/>
  <c r="K210" i="96"/>
  <c r="K146" i="96"/>
  <c r="J176" i="96"/>
  <c r="K176" i="96" s="1"/>
  <c r="K175" i="96"/>
  <c r="K76" i="96"/>
  <c r="J273" i="96"/>
  <c r="K273" i="96" s="1"/>
  <c r="K272" i="96"/>
  <c r="M96" i="98"/>
  <c r="N96" i="98" s="1"/>
  <c r="N33" i="98" s="1"/>
  <c r="M32" i="98"/>
  <c r="N95" i="98"/>
  <c r="N32" i="98" s="1"/>
  <c r="K241" i="96"/>
  <c r="K68" i="98"/>
  <c r="L68" i="98"/>
  <c r="M67" i="98"/>
  <c r="J240" i="90"/>
  <c r="K240" i="90" s="1"/>
  <c r="K239" i="90"/>
  <c r="J273" i="90"/>
  <c r="K273" i="90" s="1"/>
  <c r="K272" i="90"/>
  <c r="K336" i="90"/>
  <c r="J337" i="90"/>
  <c r="K337" i="90" s="1"/>
  <c r="J77" i="90"/>
  <c r="K111" i="90"/>
  <c r="J112" i="90"/>
  <c r="K177" i="90"/>
  <c r="K76" i="90"/>
  <c r="K369" i="90"/>
  <c r="K34" i="86"/>
  <c r="I35" i="86" s="1"/>
  <c r="J35" i="86" s="1"/>
  <c r="K338" i="90" l="1"/>
  <c r="K77" i="90"/>
  <c r="K274" i="96"/>
  <c r="K77" i="96"/>
  <c r="K241" i="90"/>
  <c r="K177" i="96"/>
  <c r="M68" i="98"/>
  <c r="N67" i="98"/>
  <c r="M97" i="98"/>
  <c r="M33" i="98"/>
  <c r="L98" i="98"/>
  <c r="L35" i="98" s="1"/>
  <c r="K98" i="98"/>
  <c r="N97" i="98"/>
  <c r="N34" i="98" s="1"/>
  <c r="K34" i="98"/>
  <c r="K112" i="96"/>
  <c r="J78" i="96"/>
  <c r="K274" i="90"/>
  <c r="J78" i="90"/>
  <c r="K112" i="90"/>
  <c r="K35" i="86"/>
  <c r="K36" i="86" s="1"/>
  <c r="M98" i="98" l="1"/>
  <c r="M34" i="98"/>
  <c r="N68" i="98"/>
  <c r="K78" i="96"/>
  <c r="K79" i="96" s="1"/>
  <c r="K113" i="96"/>
  <c r="K99" i="98"/>
  <c r="N98" i="98"/>
  <c r="N35" i="98" s="1"/>
  <c r="L99" i="98"/>
  <c r="L36" i="98" s="1"/>
  <c r="K35" i="98"/>
  <c r="K78" i="90"/>
  <c r="K79" i="90" s="1"/>
  <c r="K113" i="90"/>
  <c r="K36" i="98" l="1"/>
  <c r="K37" i="98" s="1"/>
  <c r="M99" i="98"/>
  <c r="M36" i="98" s="1"/>
  <c r="M35" i="98"/>
  <c r="J29" i="88"/>
  <c r="N99" i="98" l="1"/>
  <c r="N36" i="98" s="1"/>
  <c r="N37" i="98" s="1"/>
  <c r="J38" i="88"/>
  <c r="J56" i="88" s="1"/>
  <c r="J41" i="88"/>
  <c r="J34" i="88"/>
  <c r="J55" i="88" s="1"/>
  <c r="J59" i="88" l="1"/>
  <c r="J63" i="88"/>
  <c r="E67" i="88" s="1"/>
  <c r="E72" i="88" l="1"/>
  <c r="J69" i="88" s="1"/>
  <c r="J71" i="88" l="1"/>
  <c r="D7" i="85"/>
  <c r="D8" i="85" s="1"/>
  <c r="D21" i="86" l="1"/>
  <c r="D18" i="86"/>
  <c r="D20" i="86"/>
  <c r="D16" i="86"/>
  <c r="D17" i="86"/>
  <c r="D14" i="86"/>
  <c r="D15" i="86"/>
  <c r="D22" i="86"/>
  <c r="D12" i="86"/>
  <c r="D13" i="86"/>
  <c r="D19" i="86"/>
  <c r="D23" i="86"/>
  <c r="E12" i="86" l="1"/>
  <c r="F12" i="86" s="1"/>
  <c r="G12" i="86" s="1"/>
  <c r="E13" i="86" s="1"/>
  <c r="F13" i="86" s="1"/>
  <c r="G13" i="86" s="1"/>
  <c r="E14" i="86" s="1"/>
  <c r="F14" i="86" s="1"/>
  <c r="G14" i="86" s="1"/>
  <c r="E15" i="86" s="1"/>
  <c r="F15" i="86" s="1"/>
  <c r="G15" i="86" s="1"/>
  <c r="E16" i="86" s="1"/>
  <c r="F16" i="86" s="1"/>
  <c r="G16" i="86" s="1"/>
  <c r="E17" i="86" s="1"/>
  <c r="D36" i="86"/>
  <c r="F17" i="86" l="1"/>
  <c r="G17" i="86" s="1"/>
  <c r="E18" i="86" s="1"/>
  <c r="F18" i="86" l="1"/>
  <c r="G18" i="86" s="1"/>
  <c r="E19" i="86" s="1"/>
  <c r="F19" i="86" l="1"/>
  <c r="G19" i="86" s="1"/>
  <c r="E20" i="86" s="1"/>
  <c r="F20" i="86" l="1"/>
  <c r="G20" i="86" s="1"/>
  <c r="E21" i="86" s="1"/>
  <c r="F21" i="86" l="1"/>
  <c r="G21" i="86"/>
  <c r="E22" i="86" s="1"/>
  <c r="F22" i="86" l="1"/>
  <c r="G22" i="86" s="1"/>
  <c r="E23" i="86" s="1"/>
  <c r="F23" i="86" l="1"/>
  <c r="G23" i="86" s="1"/>
  <c r="E24" i="86" s="1"/>
  <c r="F24" i="86" s="1"/>
  <c r="G24" i="86" s="1"/>
  <c r="E25" i="86" s="1"/>
  <c r="F25" i="86" s="1"/>
  <c r="G25" i="86" s="1"/>
  <c r="E26" i="86" s="1"/>
  <c r="F26" i="86" s="1"/>
  <c r="G26" i="86" s="1"/>
  <c r="E27" i="86" s="1"/>
  <c r="F27" i="86" s="1"/>
  <c r="G27" i="86" s="1"/>
  <c r="E28" i="86" s="1"/>
  <c r="F28" i="86" s="1"/>
  <c r="G28" i="86" s="1"/>
  <c r="E29" i="86" s="1"/>
  <c r="F29" i="86" s="1"/>
  <c r="G29" i="86" s="1"/>
  <c r="E30" i="86" s="1"/>
  <c r="F30" i="86" s="1"/>
  <c r="G30" i="86" s="1"/>
  <c r="E31" i="86" s="1"/>
  <c r="F31" i="86" s="1"/>
  <c r="G31" i="86" s="1"/>
  <c r="E32" i="86" s="1"/>
  <c r="F32" i="86" s="1"/>
  <c r="G32" i="86" s="1"/>
  <c r="E33" i="86" s="1"/>
  <c r="F33" i="86" s="1"/>
  <c r="G33" i="86" s="1"/>
  <c r="E34" i="86" s="1"/>
  <c r="F34" i="86" s="1"/>
  <c r="G34" i="86" s="1"/>
  <c r="E35" i="86" s="1"/>
  <c r="F35" i="86" s="1"/>
  <c r="G35" i="86" s="1"/>
  <c r="G36" i="86" s="1"/>
</calcChain>
</file>

<file path=xl/sharedStrings.xml><?xml version="1.0" encoding="utf-8"?>
<sst xmlns="http://schemas.openxmlformats.org/spreadsheetml/2006/main" count="4006" uniqueCount="786">
  <si>
    <t>Rate</t>
  </si>
  <si>
    <t>Monthly</t>
  </si>
  <si>
    <t>in Revenue</t>
  </si>
  <si>
    <t>Interest</t>
  </si>
  <si>
    <t>Excess (-) or</t>
  </si>
  <si>
    <t>Shortfall (+)</t>
  </si>
  <si>
    <t>Description</t>
  </si>
  <si>
    <t>Amount</t>
  </si>
  <si>
    <t>Source</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</si>
  <si>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</si>
  <si>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</si>
  <si>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</si>
  <si>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</si>
  <si>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</si>
  <si>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</si>
  <si>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</si>
  <si>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</si>
  <si>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</si>
  <si>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</si>
  <si>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</si>
  <si>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</si>
  <si>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</si>
  <si>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</si>
  <si>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</si>
  <si>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</si>
  <si>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</si>
  <si>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</si>
  <si>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</si>
  <si>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</si>
  <si>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One Time Adjustment for Revised 2012 True Up TRR</t>
  </si>
  <si>
    <t>TRR Adjustment</t>
  </si>
  <si>
    <t>2012</t>
  </si>
  <si>
    <t xml:space="preserve">Total One-Time Adj: </t>
  </si>
  <si>
    <t>TO8 Revised True Up TRR</t>
  </si>
  <si>
    <t>Variance*</t>
  </si>
  <si>
    <t>* Variance Includes Adjustments for:</t>
  </si>
  <si>
    <t>Schedule 3 - One-Time and Previous Period True Up Adjustment</t>
  </si>
  <si>
    <t>Revised TO8 - 2012 True Up TRR: Schedule 4, Line 45</t>
  </si>
  <si>
    <t xml:space="preserve">One Time Adjustment for Revised 2012 True Up TRR </t>
  </si>
  <si>
    <t>One Time Adjustment for Revised 2013 True Up TRR</t>
  </si>
  <si>
    <t xml:space="preserve">Filed TO8 Revised True Up TRR </t>
  </si>
  <si>
    <t xml:space="preserve">One Time Adjustment for Revised 2013 True Up TRR </t>
  </si>
  <si>
    <t>TO9 Revised True Up TRR</t>
  </si>
  <si>
    <t xml:space="preserve">Filed TO9 True Up TRR </t>
  </si>
  <si>
    <t>TO9 Filing, Vol 1: Schedule 4, line 45</t>
  </si>
  <si>
    <t>2013</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</si>
  <si>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</si>
  <si>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</si>
  <si>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</si>
  <si>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</si>
  <si>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</si>
  <si>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</si>
  <si>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</si>
  <si>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</si>
  <si>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</si>
  <si>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</si>
  <si>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</si>
  <si>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</si>
  <si>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</si>
  <si>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</si>
  <si>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</si>
  <si>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</si>
  <si>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</si>
  <si>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</si>
  <si>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</si>
  <si>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</si>
  <si>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</si>
  <si>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</si>
  <si>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</si>
  <si>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</si>
  <si>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</si>
  <si>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</si>
  <si>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</si>
  <si>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</si>
  <si>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</si>
  <si>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</si>
  <si>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</si>
  <si>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</si>
  <si>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</si>
  <si>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</si>
  <si>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</si>
  <si>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</si>
  <si>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</si>
  <si>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</si>
  <si>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</si>
  <si>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</si>
  <si>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</si>
  <si>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</si>
  <si>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</si>
  <si>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</si>
  <si>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</si>
  <si>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</si>
  <si>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</si>
  <si>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</si>
  <si>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</si>
  <si>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</si>
  <si>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</si>
  <si>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</si>
  <si>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</si>
  <si>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</si>
  <si>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</si>
  <si>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</si>
  <si>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</si>
  <si>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</si>
  <si>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</si>
  <si>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</si>
  <si>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</si>
  <si>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</si>
  <si>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</si>
  <si>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</si>
  <si>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</si>
  <si>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</si>
  <si>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</si>
  <si>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TO8 TUTRR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</si>
  <si>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</si>
  <si>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</si>
  <si>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</si>
  <si>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</si>
  <si>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</si>
  <si>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</si>
  <si>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</si>
  <si>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</si>
  <si>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</si>
  <si>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</si>
  <si>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</si>
  <si>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</si>
  <si>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</si>
  <si>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</si>
  <si>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</si>
  <si>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</si>
  <si>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</si>
  <si>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</si>
  <si>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Jan 1, 2012</t>
  </si>
  <si>
    <t>Dec 31, 2012</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</si>
  <si>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</si>
  <si>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</si>
  <si>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</si>
  <si>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</si>
  <si>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</si>
  <si>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</si>
  <si>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</si>
  <si>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</si>
  <si>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</si>
  <si>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</si>
  <si>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</si>
  <si>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</si>
  <si>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</si>
  <si>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</si>
  <si>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</si>
  <si>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</si>
  <si>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</si>
  <si>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</si>
  <si>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</si>
  <si>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</si>
  <si>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</si>
  <si>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</si>
  <si>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</si>
  <si>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</si>
  <si>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</si>
  <si>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</si>
  <si>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</si>
  <si>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</si>
  <si>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</si>
  <si>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 xml:space="preserve">Accumulated Deferred Income Taxes </t>
  </si>
  <si>
    <t>Cells shaded yellow are input cells</t>
  </si>
  <si>
    <t>1) Summary of Accumulated Deferred Income Taxes</t>
  </si>
  <si>
    <t>a) End of Year Accumulated Deferred Income Taxes</t>
  </si>
  <si>
    <t>Col 1</t>
  </si>
  <si>
    <t>Col 2</t>
  </si>
  <si>
    <t>Total</t>
  </si>
  <si>
    <t>Line</t>
  </si>
  <si>
    <t>Account</t>
  </si>
  <si>
    <t>ADIT</t>
  </si>
  <si>
    <t>Account 190</t>
  </si>
  <si>
    <t>Account 282</t>
  </si>
  <si>
    <t>Account 283</t>
  </si>
  <si>
    <t>IRC Section 168(i)(9) Normalization Adjustment</t>
  </si>
  <si>
    <t>Total Accumulated Deferred Income Taxes</t>
  </si>
  <si>
    <t>b) Beginning of Year Accumulated Deferred Income Taxes</t>
  </si>
  <si>
    <t>BOY</t>
  </si>
  <si>
    <t>c) Average of Beginning and End of Year Accumulated Deferred Income Taxes</t>
  </si>
  <si>
    <t>Average</t>
  </si>
  <si>
    <t>Average BOY/EOY ADIT:</t>
  </si>
  <si>
    <t>2) Account 190 Detail</t>
  </si>
  <si>
    <t>Col 3</t>
  </si>
  <si>
    <t>Col 4</t>
  </si>
  <si>
    <t>Col 5</t>
  </si>
  <si>
    <t>Col 6</t>
  </si>
  <si>
    <t>Col 7</t>
  </si>
  <si>
    <t>END BAL</t>
  </si>
  <si>
    <t>Gas, Generation</t>
  </si>
  <si>
    <t>Labor</t>
  </si>
  <si>
    <t>(Instructions 1&amp;2)</t>
  </si>
  <si>
    <t>ACCT 190</t>
  </si>
  <si>
    <t>DESCRIPTION</t>
  </si>
  <si>
    <t>per G/L</t>
  </si>
  <si>
    <t>or Other Related</t>
  </si>
  <si>
    <t>ISO Only</t>
  </si>
  <si>
    <t>Plant Related</t>
  </si>
  <si>
    <t>Related</t>
  </si>
  <si>
    <t>Electric:</t>
  </si>
  <si>
    <t>Amort of Debt Issuance Cost</t>
  </si>
  <si>
    <t>C: Relates to all Regulated Electric Property</t>
  </si>
  <si>
    <t>Franchise Requirements</t>
  </si>
  <si>
    <t>Executive Incentive Comp</t>
  </si>
  <si>
    <t>C: Relates to employees in all functions</t>
  </si>
  <si>
    <t>DIT - APS Right of Way</t>
  </si>
  <si>
    <t>Relates to 100% ISO facilities</t>
  </si>
  <si>
    <t>Corp Name Change</t>
  </si>
  <si>
    <t>Bond Discount Amort</t>
  </si>
  <si>
    <t>Executive Incentive Plan</t>
  </si>
  <si>
    <t>Ins - Inj/Damages Prov</t>
  </si>
  <si>
    <t>Accrued Vacation</t>
  </si>
  <si>
    <t>Health Care - IBNR</t>
  </si>
  <si>
    <t>Def Tax - CCFT Base Rates - R.L.</t>
  </si>
  <si>
    <t>Relates to all Regulated Electric Property</t>
  </si>
  <si>
    <t>Ins Res/Casualty Loss</t>
  </si>
  <si>
    <t>Int Capitalized - AFUDC</t>
  </si>
  <si>
    <t>PBOP 401H Amortization</t>
  </si>
  <si>
    <t>STATE RATE ADJUSTMENT</t>
  </si>
  <si>
    <t>EMS</t>
  </si>
  <si>
    <t>Decommissioning</t>
  </si>
  <si>
    <t>Relates to Nuclear Decommissioning Costs</t>
  </si>
  <si>
    <t>Balancing Accounts</t>
  </si>
  <si>
    <t>Relates Entirely to CPUC Balancing Account Recovery</t>
  </si>
  <si>
    <t>CIAC/ITCC</t>
  </si>
  <si>
    <t>Non-Rate Base FAS 109 Tax Flow-Thru - CIAC</t>
  </si>
  <si>
    <t>Pension &amp; PBOP</t>
  </si>
  <si>
    <r>
      <rPr>
        <strike/>
        <sz val="10"/>
        <color theme="1"/>
        <rFont val="Arial"/>
        <family val="2"/>
      </rPr>
      <t>C: Relates to CIAC Non-ISO Property Costs</t>
    </r>
    <r>
      <rPr>
        <sz val="10"/>
        <color theme="1"/>
        <rFont val="Arial"/>
        <family val="2"/>
      </rPr>
      <t xml:space="preserve">
C: Relates to all employees in all fuctions</t>
    </r>
  </si>
  <si>
    <t>Property/Non-ISO</t>
  </si>
  <si>
    <t>Relates to Generation Costs</t>
  </si>
  <si>
    <t>Regulatory Assets/Liab</t>
  </si>
  <si>
    <t>Temp-Other/Non-ISO</t>
  </si>
  <si>
    <t>Continuation of Account 190 Detail</t>
  </si>
  <si>
    <t>Labor Related</t>
  </si>
  <si>
    <t>…</t>
  </si>
  <si>
    <t>Total Electric 190</t>
  </si>
  <si>
    <t>Account 190 Gas and Other Income:</t>
  </si>
  <si>
    <t>Audit Rollforward</t>
  </si>
  <si>
    <t>Gas and Other Non-ISO Related Costs</t>
  </si>
  <si>
    <t>Reclass Acct 190 Credit and Acct 283 Debit Balances</t>
  </si>
  <si>
    <t>Total Account 190 Gas and Other Income</t>
  </si>
  <si>
    <t>Total Account 190</t>
  </si>
  <si>
    <t>Allocation Factors (Plant and Wages)</t>
  </si>
  <si>
    <t>Total Account 190 ADIT</t>
  </si>
  <si>
    <t>(Sum of amounts in Columns 4 to 6)</t>
  </si>
  <si>
    <t>FERC Form 1 Account 190</t>
  </si>
  <si>
    <t>FF1 234.18c</t>
  </si>
  <si>
    <t>3) Account 282 Detail</t>
  </si>
  <si>
    <t>ACCT 282</t>
  </si>
  <si>
    <t xml:space="preserve">Fully Normalized Deferred Tax </t>
  </si>
  <si>
    <t>Property-Related FERC Costs</t>
  </si>
  <si>
    <t>Other - Non/ISO</t>
  </si>
  <si>
    <t>DPV2 ADIT - Abandonment</t>
  </si>
  <si>
    <t>Acc Def Inc Tax-AFUDC</t>
  </si>
  <si>
    <t>Repairs 3115 - FERC Deduction</t>
  </si>
  <si>
    <t>Fully Normalized Deferred Tax - Book</t>
  </si>
  <si>
    <t>Property-Related Def Tax Adjust</t>
  </si>
  <si>
    <t>Repair Deduction/Non-ISO</t>
  </si>
  <si>
    <t>Property-Related CPUC Costs - Repair</t>
  </si>
  <si>
    <t>Total Account 282</t>
  </si>
  <si>
    <t>Total Account 282 ADIT</t>
  </si>
  <si>
    <t>FERC Form 1 Account 282</t>
  </si>
  <si>
    <t>FF1 275.5k</t>
  </si>
  <si>
    <t>4) Account 283 Detail</t>
  </si>
  <si>
    <t>ACCT 283</t>
  </si>
  <si>
    <t>Def Tax State - Other (GSI)</t>
  </si>
  <si>
    <t>C: FERC-Related state deductions</t>
  </si>
  <si>
    <t>Payroll Tax</t>
  </si>
  <si>
    <t>Ad Valorem Lien Date Adj-Electric</t>
  </si>
  <si>
    <t>Amortization of Debt Expense</t>
  </si>
  <si>
    <t>Refunding &amp; Retirement of Debt</t>
  </si>
  <si>
    <t>Capitalized Software</t>
  </si>
  <si>
    <t>Non-Rate Base FAS 109 Tax Flow-Thru - Software</t>
  </si>
  <si>
    <t>Repair-Deduction</t>
  </si>
  <si>
    <t>Continuation of Account 283 Detail</t>
  </si>
  <si>
    <t>Electric (continued):</t>
  </si>
  <si>
    <t>Total Electric 283</t>
  </si>
  <si>
    <t>Account 283 Gas and Other:</t>
  </si>
  <si>
    <t>Property/Non-Electric</t>
  </si>
  <si>
    <t>Temp-Other/Non-Electric</t>
  </si>
  <si>
    <t>Capitalized Software/Non-ISO</t>
  </si>
  <si>
    <t>Other Reclass - FIN48</t>
  </si>
  <si>
    <t>Total Account 283 Gas and Other</t>
  </si>
  <si>
    <t>Total Account 283</t>
  </si>
  <si>
    <t>Total Account 283 ADIT</t>
  </si>
  <si>
    <t>FERC Form 1 Account 283</t>
  </si>
  <si>
    <t>FF1 277.19k</t>
  </si>
  <si>
    <t>5) Normalization Adjustment for Unused Bonus Depreciation</t>
  </si>
  <si>
    <t>ACCT</t>
  </si>
  <si>
    <t>Federal Income Taxes Payable</t>
  </si>
  <si>
    <t>FF1 263.3i - See Note 1</t>
  </si>
  <si>
    <t>Interest Income Reclassification</t>
  </si>
  <si>
    <t>See Note 2</t>
  </si>
  <si>
    <t>Remaining Amount of FIT Payable</t>
  </si>
  <si>
    <t>Plant Allocation Factor</t>
  </si>
  <si>
    <t>See Note 3</t>
  </si>
  <si>
    <t>(In Column 5)</t>
  </si>
  <si>
    <t>for Column 5</t>
  </si>
  <si>
    <t>Note 1: Only include if Federal Income Tax Account 236 payable in FF1 page 263 charged to Acct 409.1 or 408.1 in Column (i) is a negative amount (i.e., debit balance).</t>
  </si>
  <si>
    <t>Note 2: Adjustment to exclude interest component related portion of Federal Income Taxes Payable on Line 805.  The Interest Income Reclassification adjustment</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</si>
  <si>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</si>
  <si>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</si>
  <si>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Remaining Amount is Gas, Generation, or Other Related.</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</si>
  <si>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</si>
  <si>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</si>
  <si>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</si>
  <si>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</si>
  <si>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</si>
  <si>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Prior Year</t>
  </si>
  <si>
    <t>Value</t>
  </si>
  <si>
    <t>A:Total Electric Wages and Salaries</t>
  </si>
  <si>
    <t>FF1 354.28b</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</si>
  <si>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</si>
  <si>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</si>
  <si>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</si>
  <si>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</si>
  <si>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</si>
  <si>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</si>
  <si>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</si>
  <si>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</si>
  <si>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</si>
  <si>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</si>
  <si>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FF1 207.104g</t>
  </si>
  <si>
    <t>G:Total Gas Plant In Service</t>
  </si>
  <si>
    <t>FF1 201.8d</t>
  </si>
  <si>
    <t>H:Total Water Plant in Service</t>
  </si>
  <si>
    <t>FF1 201.8e</t>
  </si>
  <si>
    <t>I:Total Electric, Gas, and Water Plant In Service</t>
  </si>
  <si>
    <t>F+G+H</t>
  </si>
  <si>
    <t>J:Plant Percentage "Gas, Generation, or Other"</t>
  </si>
  <si>
    <t>(G+H) / I</t>
  </si>
  <si>
    <t xml:space="preserve">Instruction 3: For any balances in account 190 relating to "Executive Incentive Comp" or "Executive Incentive Plan", the amount included in Column 3 "Gas, Generation or Other Related" shall be </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</si>
  <si>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</si>
  <si>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</si>
  <si>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</si>
  <si>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</si>
  <si>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3) If Commission approval is granted to include CWIP in Rate Base for additional projects, include additional tables for each of those additional projects.</t>
  </si>
  <si>
    <t>2) Enter forecast project specific values on lines 55-79, 81-105, 107-131, 133-157, 159-183, 185-209, 211-235, 237-261, 263-287, 289-313,...</t>
  </si>
  <si>
    <t>1) Enter recorded amounts of CWIP during Prior Year on Lines 1-13, 15-27 (including December of year previous to Prior Year).</t>
  </si>
  <si>
    <t>2) Sum of project specific values from lines 55-79, 81-105, 107-131, 133-157, 159-183, 185-209, 211-235, 237-261, 263-287, 289-313,…</t>
  </si>
  <si>
    <t xml:space="preserve">1) Forecast Period is the calendar year two years after the Prior Year (i.e., PY+2).   </t>
  </si>
  <si>
    <t>Notes:</t>
  </si>
  <si>
    <t>13-Month Averages:</t>
  </si>
  <si>
    <t>---</t>
  </si>
  <si>
    <t>= C7 - 
Dec Prior Year C7</t>
  </si>
  <si>
    <t>= Prior Month C7
+ C3 - C4 - C6</t>
  </si>
  <si>
    <t>= (C4 - C5) *
16-Plnt Add Line 74</t>
  </si>
  <si>
    <t>= C1 + C2</t>
  </si>
  <si>
    <t>= C1 * 
16-Plnt Add Line 74</t>
  </si>
  <si>
    <t>Col 8</t>
  </si>
  <si>
    <t>add additional projects below this line (See Instruction 3)</t>
  </si>
  <si>
    <t>3j) Project:</t>
  </si>
  <si>
    <t>West of Devers</t>
  </si>
  <si>
    <t>3i) Project:</t>
  </si>
  <si>
    <t>South of Kramer</t>
  </si>
  <si>
    <t>3h) Project:</t>
  </si>
  <si>
    <t>Colorado River Substation Expansion</t>
  </si>
  <si>
    <t>3g) Project:</t>
  </si>
  <si>
    <t>Plant Adds</t>
  </si>
  <si>
    <t>Unload</t>
  </si>
  <si>
    <t>Whirlwind Substation Expansion</t>
  </si>
  <si>
    <t>3f) Project:</t>
  </si>
  <si>
    <t>Red Bluff</t>
  </si>
  <si>
    <t>3e) Project:</t>
  </si>
  <si>
    <t>Lugo Pisgah</t>
  </si>
  <si>
    <t>3d) Project:</t>
  </si>
  <si>
    <t>Eldorado Ivanpah</t>
  </si>
  <si>
    <t>3c) Project:</t>
  </si>
  <si>
    <t>Devers to Colorado River</t>
  </si>
  <si>
    <t>3b) Project:</t>
  </si>
  <si>
    <t>Tehachapi</t>
  </si>
  <si>
    <t>3a) Project:</t>
  </si>
  <si>
    <t>3) Forecast Period CWIP Expenditures by Project (see Note 1)</t>
  </si>
  <si>
    <t>Incremental CWIP</t>
  </si>
  <si>
    <t>Period CWIP</t>
  </si>
  <si>
    <t>Closed to PIS</t>
  </si>
  <si>
    <t>CWIP Closed</t>
  </si>
  <si>
    <t>CWIP Exp</t>
  </si>
  <si>
    <t>Overheads</t>
  </si>
  <si>
    <t>Expenditures</t>
  </si>
  <si>
    <t>Forecast Period</t>
  </si>
  <si>
    <t>Forecast</t>
  </si>
  <si>
    <t>Over Heads</t>
  </si>
  <si>
    <t>Prior Period</t>
  </si>
  <si>
    <t xml:space="preserve">Total </t>
  </si>
  <si>
    <t>Corporate</t>
  </si>
  <si>
    <t>Unloaded</t>
  </si>
  <si>
    <t>2) Total Forecast Period CWIP Expenditures (see Note 1)</t>
  </si>
  <si>
    <t>13 Month Averages:</t>
  </si>
  <si>
    <t xml:space="preserve">October </t>
  </si>
  <si>
    <t xml:space="preserve">June </t>
  </si>
  <si>
    <t>Devers</t>
  </si>
  <si>
    <t>Kramer</t>
  </si>
  <si>
    <t>Expansion</t>
  </si>
  <si>
    <t>West of</t>
  </si>
  <si>
    <t>South of</t>
  </si>
  <si>
    <t>Substation</t>
  </si>
  <si>
    <t>River</t>
  </si>
  <si>
    <t>Whirlwind</t>
  </si>
  <si>
    <t xml:space="preserve">Colorado </t>
  </si>
  <si>
    <t>Col 12</t>
  </si>
  <si>
    <t>Col 11</t>
  </si>
  <si>
    <t>Col 10</t>
  </si>
  <si>
    <t>Col 9</t>
  </si>
  <si>
    <t>Lugo-Pisgah/</t>
  </si>
  <si>
    <t>Ivanpah</t>
  </si>
  <si>
    <t>Colorado River</t>
  </si>
  <si>
    <t>Total CWIP</t>
  </si>
  <si>
    <t>Eldorado</t>
  </si>
  <si>
    <t>Devers to</t>
  </si>
  <si>
    <t>columns</t>
  </si>
  <si>
    <t xml:space="preserve"> = Sum of all</t>
  </si>
  <si>
    <t>1) Prior Year CWIP, Total and by Project</t>
  </si>
  <si>
    <t>to include CWIP in Rate Base.</t>
  </si>
  <si>
    <t>Prior Year CWIP is the amount of Construction Work In Progress for projects that have received Commission approval</t>
  </si>
  <si>
    <t xml:space="preserve">Prior Year CWIP and Forecast Period Incremental CWIP by Project </t>
  </si>
  <si>
    <t>Forecast Plant Additions for In-Service ISO Transmission Plant</t>
  </si>
  <si>
    <t>Yellow shaded cells are Input Data</t>
  </si>
  <si>
    <t xml:space="preserve">Forecast Plant Additions represents the total increase in ISO Transmission Net Plant, not including CWIP, </t>
  </si>
  <si>
    <t>during the Rate Year, incremental to the year-end Prior Year amount.</t>
  </si>
  <si>
    <t>It is calculated on a 13-Month Average Basis during the Rate Year.</t>
  </si>
  <si>
    <t>1) Total Plant Additions Forecast (See Note 1)</t>
  </si>
  <si>
    <t>AFUDC</t>
  </si>
  <si>
    <t>Loaded</t>
  </si>
  <si>
    <t>Period</t>
  </si>
  <si>
    <t xml:space="preserve">Cost of </t>
  </si>
  <si>
    <t>Eligible Plant</t>
  </si>
  <si>
    <t>Incremental</t>
  </si>
  <si>
    <t>Depreciation</t>
  </si>
  <si>
    <t>Low Voltage</t>
  </si>
  <si>
    <t>Removal</t>
  </si>
  <si>
    <t>Additions</t>
  </si>
  <si>
    <t>Gross Plant</t>
  </si>
  <si>
    <t>Accrual</t>
  </si>
  <si>
    <t>Reserve</t>
  </si>
  <si>
    <t>Net Plant</t>
  </si>
  <si>
    <t>2) Incentive Plant Forecast (See Note 1)</t>
  </si>
  <si>
    <t>C4 10-CWIP
L30-53</t>
  </si>
  <si>
    <t>C5 10-CWIP
L30-53</t>
  </si>
  <si>
    <t>C6 10-CWIP
L30-53</t>
  </si>
  <si>
    <t>N/A</t>
  </si>
  <si>
    <t>= Prior Month C7
+C1+C3</t>
  </si>
  <si>
    <t>= Prior Month C7 
* L91/12</t>
  </si>
  <si>
    <t>= Prior Month C9
 + C8</t>
  </si>
  <si>
    <t>=C7-C9</t>
  </si>
  <si>
    <t>=C11* (1-L75)
* (1+L74+L76)</t>
  </si>
  <si>
    <t>3) Non-Incentive Plant Forecast (See Note 1)</t>
  </si>
  <si>
    <t>= Prior Month C2
+C2+C5+C6</t>
  </si>
  <si>
    <t>4) ISO Corporate Overhead Loader</t>
  </si>
  <si>
    <t>ISO Corp OH Rate</t>
  </si>
  <si>
    <t>5) ISO Cost of Removal Percent</t>
  </si>
  <si>
    <t>Cost of Removal Rate</t>
  </si>
  <si>
    <t>6) AFUDC Loader Rate</t>
  </si>
  <si>
    <t>ISO AFUDC Rate</t>
  </si>
  <si>
    <t>7) Calculation of ISO Depreciation Rate</t>
  </si>
  <si>
    <t>December Prior Year plant balances and accrual rates are as shown on Schedule 17 Depreciation</t>
  </si>
  <si>
    <t>C2*C3</t>
  </si>
  <si>
    <t>Annual</t>
  </si>
  <si>
    <t>Accrual Rate</t>
  </si>
  <si>
    <t>Acct</t>
  </si>
  <si>
    <t>Plant Balance</t>
  </si>
  <si>
    <t>Reference</t>
  </si>
  <si>
    <t>18 Dep Rates L1</t>
  </si>
  <si>
    <t>18 Dep Rates L2</t>
  </si>
  <si>
    <t>18 Dep Rates L3</t>
  </si>
  <si>
    <t>18 Dep Rates L4</t>
  </si>
  <si>
    <t>18 Dep Rates L5</t>
  </si>
  <si>
    <t>18 Dep Rates L6</t>
  </si>
  <si>
    <t>18 Dep Rates L7</t>
  </si>
  <si>
    <t>18 Dep Rates L8</t>
  </si>
  <si>
    <t>18 Dep Rates L9</t>
  </si>
  <si>
    <t>18 Dep Rates L10</t>
  </si>
  <si>
    <t>Sum of Depreciation Expense</t>
  </si>
  <si>
    <t>Composite Depreciation Rate</t>
  </si>
  <si>
    <t>2) Sum of Incentive Plant Calculations and Non-Incentive Calculations, lines 26-49 and lines 50-73</t>
  </si>
  <si>
    <t>27a</t>
  </si>
  <si>
    <t>PBOPs True Up TRR Adjustment</t>
  </si>
  <si>
    <t>TO9 TUTRR</t>
  </si>
  <si>
    <t>Jan 1, 2013</t>
  </si>
  <si>
    <t>Dec 31, 2013</t>
  </si>
  <si>
    <t>Plant In Service</t>
  </si>
  <si>
    <t>Inputs are shaded yellow</t>
  </si>
  <si>
    <t>1) Transmission Plant - ISO</t>
  </si>
  <si>
    <t>Balances for Transmission Plant - ISO during the Prior Year, including December of previous year (See Note 1):</t>
  </si>
  <si>
    <t>Prior Year:</t>
  </si>
  <si>
    <t>Sum C2 - C11</t>
  </si>
  <si>
    <t>Mo/YR</t>
  </si>
  <si>
    <t>Dec 2012</t>
  </si>
  <si>
    <t>Jan 2013</t>
  </si>
  <si>
    <t>Feb 2013</t>
  </si>
  <si>
    <t>Mar 2013</t>
  </si>
  <si>
    <t xml:space="preserve">Apr 2013 </t>
  </si>
  <si>
    <t>May 2013</t>
  </si>
  <si>
    <t>Jun 2013</t>
  </si>
  <si>
    <t>Jul 2013</t>
  </si>
  <si>
    <t>Aug 2013</t>
  </si>
  <si>
    <t>Sep 2013</t>
  </si>
  <si>
    <t>Oct 2013</t>
  </si>
  <si>
    <t>Nov 2013</t>
  </si>
  <si>
    <t>Dec 2013</t>
  </si>
  <si>
    <t>13-Mo. Avg:</t>
  </si>
  <si>
    <t>2) Distribution Plant - ISO</t>
  </si>
  <si>
    <t>Balances for Distribution Plant - ISO for December of Prior Year and year before Prior Year (See Note 2)</t>
  </si>
  <si>
    <t>Sum C2 - C4</t>
  </si>
  <si>
    <t>Average:</t>
  </si>
  <si>
    <t>3) ISO Transmission Plant</t>
  </si>
  <si>
    <t>ISO Transmission Plant is the sum of "Transmission Plant - ISO" and "Distribution Plant - ISO"</t>
  </si>
  <si>
    <t>Average value:</t>
  </si>
  <si>
    <t>EOY Value:</t>
  </si>
  <si>
    <t>4) General Plant + Electric Miscellaneous Intangible Plant ("G&amp;I Plant")</t>
  </si>
  <si>
    <t>General and Intangible Plant is an allocated portion of Total G&amp;I Plant based on the Trans. W&amp;S Allocation Factor</t>
  </si>
  <si>
    <t>Note 1</t>
  </si>
  <si>
    <t>Prior</t>
  </si>
  <si>
    <t>General</t>
  </si>
  <si>
    <t>Intangible</t>
  </si>
  <si>
    <t>Data</t>
  </si>
  <si>
    <t>Plant</t>
  </si>
  <si>
    <t>G&amp;I Plant</t>
  </si>
  <si>
    <t>Balances</t>
  </si>
  <si>
    <t>FF1 206.99.b and 204.5b</t>
  </si>
  <si>
    <t>BOY amount from previous PY</t>
  </si>
  <si>
    <t>FF1 207.99.g and 205.5g</t>
  </si>
  <si>
    <t>End of year ("EOY") amount</t>
  </si>
  <si>
    <t xml:space="preserve">a) BOY/EOY Average G&amp;I Plant </t>
  </si>
  <si>
    <t>Average BOY/EOY Value:</t>
  </si>
  <si>
    <t>Transmission W&amp;S Allocation Factor:</t>
  </si>
  <si>
    <t>General + Intangible Plant:</t>
  </si>
  <si>
    <t>b) EOY G&amp;I Plant</t>
  </si>
  <si>
    <t>Transmission Activity Used to Determine Monthly Transmission Plant - ISO Balances</t>
  </si>
  <si>
    <t>1) Total Transmission Activity by Account (See Note 3)</t>
  </si>
  <si>
    <t>Apr 2013</t>
  </si>
  <si>
    <t>Total:</t>
  </si>
  <si>
    <t>2) ISO Incentive Plant Activity (See Note 4)</t>
  </si>
  <si>
    <t>3) Total Transmission Activity Not Including Incentive Plant Activity (See Note 5):</t>
  </si>
  <si>
    <t>4) Calculation of change in Non-Incentive ISO Plant:</t>
  </si>
  <si>
    <t>A) Change in ISO Plant Balance December to December (See Note 6)</t>
  </si>
  <si>
    <t>B) Change in Incentive ISO Plant (See Note 7)</t>
  </si>
  <si>
    <t>C) Change in Non-Incentive ISO Plant (See Note 8)</t>
  </si>
  <si>
    <t>5) Other ISO Transmission Activity without Incentive Plant Activity (See Note 9):</t>
  </si>
  <si>
    <t xml:space="preserve">1) Amounts on Line 13 from corresponding account Schedule 7, column 2.  </t>
  </si>
  <si>
    <t>Amounts on Line 1 must match corresponding account Schedule 7, Column 2 for previous year.</t>
  </si>
  <si>
    <t xml:space="preserve">The amounts for each month on the remaining lines are calculated by summing the following values: </t>
  </si>
  <si>
    <t>a) Other ISO Transmission Activity without Incentive Plant Activity on Lines 70-81 for the same month;</t>
  </si>
  <si>
    <t>b) ISO Incentive Plant Activity on Lines 41 to 52 for the same month; and</t>
  </si>
  <si>
    <t xml:space="preserve">c) The previous month balance of the Transmission Plant - ISO amounts on Lines 1-13.  </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</si>
  <si>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</si>
  <si>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</si>
  <si>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</si>
  <si>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</si>
  <si>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3) Includes recorded Transmission Plant-In-Service additions, retirements, transfers and adjustments.  From SCE internal acounting records.</t>
  </si>
  <si>
    <t>Input cells are shaded yellow</t>
  </si>
  <si>
    <t>1) Transmission Depreciation Reserve - ISO</t>
  </si>
  <si>
    <t>Balances for Transmission Depreciation Reserve - ISO during the Prior Year, including December of previous year (See Note 1):</t>
  </si>
  <si>
    <t>=Sum C2 to C11</t>
  </si>
  <si>
    <t>FERC</t>
  </si>
  <si>
    <t>Account:</t>
  </si>
  <si>
    <t>2) Distribution Depreciation Reserve - ISO (See Note 2)</t>
  </si>
  <si>
    <t>=Sum C2 to C4</t>
  </si>
  <si>
    <t>Beginning of Year ("BOY") amount</t>
  </si>
  <si>
    <t>End of Year ("EOY") amount</t>
  </si>
  <si>
    <t>BOY/EOY Average:</t>
  </si>
  <si>
    <t>3) General and Intangible Depreciation Reserve</t>
  </si>
  <si>
    <t>=C4+C5</t>
  </si>
  <si>
    <t>Gen. and Int.</t>
  </si>
  <si>
    <t xml:space="preserve">Depreciation </t>
  </si>
  <si>
    <t>BOY:</t>
  </si>
  <si>
    <t>FF1 219.28c and 200.21c for previous year</t>
  </si>
  <si>
    <t>EOY:</t>
  </si>
  <si>
    <t>FF1 219.28c and 200.21c</t>
  </si>
  <si>
    <t>a) Average BOY/EOY General and Intangible Depreciation Reserve</t>
  </si>
  <si>
    <t>Total G+I Dep. Reserve on Average BOY/EOY basis:</t>
  </si>
  <si>
    <t>G + I Plant Dep. Reserve (BOY/EOY Average):</t>
  </si>
  <si>
    <t xml:space="preserve">b) EOY General and Intangible Depreciation Reserve </t>
  </si>
  <si>
    <t>Total G+I Dep. Reserve on Average EOY basis:</t>
  </si>
  <si>
    <t>G + I Plant Dep. Reserve (EOY):</t>
  </si>
  <si>
    <t>Transmission Activity Used to Determine Monthly Transmission Depreciation Reserve - ISO Balances</t>
  </si>
  <si>
    <t>2) Depreciation Expense (See Note 4)</t>
  </si>
  <si>
    <t>3) Total Transmission Activity less Depreciation Expense (See Note 5)</t>
  </si>
  <si>
    <t>4) Calculation of Other Transmission Activity</t>
  </si>
  <si>
    <t>A) Change in Depreciation Reserve - ISO (See Note 6)</t>
  </si>
  <si>
    <t>B) Total Depreciation Expense (See Note 7)</t>
  </si>
  <si>
    <t>C) Other Activity (See Note 8)</t>
  </si>
  <si>
    <t>5) Other Transmission Activity (See Note 9)</t>
  </si>
  <si>
    <t xml:space="preserve">1) Amounts on Line 13 based on current year Plant Study.  Amounts on Line 1 shall be based previous year Plant Study, and </t>
  </si>
  <si>
    <t>shall match amounts on Line 13 in previous year Annual Update.</t>
  </si>
  <si>
    <t>The amounts for each month on the remaining lines are calculated by summing the following values:</t>
  </si>
  <si>
    <t>a) Depreciation Expense (on Lines 40 to 51) for the same month;</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</si>
  <si>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</si>
  <si>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</si>
  <si>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</si>
  <si>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</si>
  <si>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</si>
  <si>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</si>
  <si>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3) Total Transmission Activity by Account represents accumulated depreciation changes for all Transmission plant.</t>
  </si>
  <si>
    <r>
      <rPr>
        <strike/>
        <sz val="10"/>
        <color theme="1"/>
        <rFont val="Arial"/>
        <family val="2"/>
      </rPr>
      <t>C: Relates to CIAC Non-ISO Property Costs</t>
    </r>
    <r>
      <rPr>
        <sz val="10"/>
        <color theme="1"/>
        <rFont val="Arial"/>
        <family val="2"/>
      </rPr>
      <t xml:space="preserve">
C: Related to all employees in all functions</t>
    </r>
  </si>
  <si>
    <t>Temp - Other</t>
  </si>
  <si>
    <t>Property-Related CPUC Costs - Other</t>
  </si>
  <si>
    <t>Property-Related CPUC Costs - Cap Software</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</si>
  <si>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</si>
  <si>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</si>
  <si>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</si>
  <si>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</si>
  <si>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</si>
  <si>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of balances needed to determine the following:</t>
  </si>
  <si>
    <t>1) Rate Base in Prior Year</t>
  </si>
  <si>
    <t>2) Prior Year Incentive Rate Base - End of Year</t>
  </si>
  <si>
    <t>3) Prior Year Incentive Rate Base - 13-Month Average</t>
  </si>
  <si>
    <t xml:space="preserve">Transmission Incentive Project plant balances and CWIP Plant may affect the following: </t>
  </si>
  <si>
    <t>a) CWIP Plant during the Prior Year is included in Rate Base (used in Prior Year TRR and True Up TRR).</t>
  </si>
  <si>
    <t xml:space="preserve">b) Forecast Period Incremental CWIP contributes to Incremental Forecast Period TRR </t>
  </si>
  <si>
    <t xml:space="preserve">c) CWIP Plant receiving an ROE adder contributes to Prior Year Incentive Rate Base - EOY, </t>
  </si>
  <si>
    <t>or Prior Year Incentive Rate Base - 13 Month Average as appropriate.</t>
  </si>
  <si>
    <t>d) "TIP Net Plant In Service" at EOY Prior Year is used to calculate the PY Incentive Rate Base (on EOY basis).</t>
  </si>
  <si>
    <t>e) "TIP Net Plant In Service" in PY is used to calculate the Prior Year Incentive Rate Base (on 13-month average basis).</t>
  </si>
  <si>
    <t>1) Summary of CWIP Plant in Prior Year and Forecast Period</t>
  </si>
  <si>
    <t>13-Month</t>
  </si>
  <si>
    <t>End-of-Year</t>
  </si>
  <si>
    <t>CWIP</t>
  </si>
  <si>
    <t>Incentive</t>
  </si>
  <si>
    <t>Project</t>
  </si>
  <si>
    <t>1) Tehachapi</t>
  </si>
  <si>
    <t>2) Devers-Colorado River</t>
  </si>
  <si>
    <t>3) Eldorado-Ivanpah</t>
  </si>
  <si>
    <t>4) Lugo-Pisgah</t>
  </si>
  <si>
    <t>5) Red Bluff</t>
  </si>
  <si>
    <t>6) Whirlwind Substation Exp.</t>
  </si>
  <si>
    <t>7) Colorado River Sub. Exp.</t>
  </si>
  <si>
    <t>8) South of Kramer</t>
  </si>
  <si>
    <t>9) West of Devers</t>
  </si>
  <si>
    <t>Totals:</t>
  </si>
  <si>
    <t>2) Summary of Prior Year Incentive Rate Base amounts (EOY Values)</t>
  </si>
  <si>
    <t>= C2 + C3</t>
  </si>
  <si>
    <t>EOY</t>
  </si>
  <si>
    <t>TIP Net Plant</t>
  </si>
  <si>
    <t>Portion</t>
  </si>
  <si>
    <t>In Service</t>
  </si>
  <si>
    <t>1) Rancho Vista</t>
  </si>
  <si>
    <t>2) Tehachapi</t>
  </si>
  <si>
    <t>3) Devers-Colorado River</t>
  </si>
  <si>
    <t>Total PY Incentive Net Plant:</t>
  </si>
  <si>
    <t xml:space="preserve">End of Year </t>
  </si>
  <si>
    <t>3) Summary of Prior Year Incentive Rate Base amounts (13-Month Average values)</t>
  </si>
  <si>
    <t>3) Devers-Colorado R</t>
  </si>
  <si>
    <t>13 Month Average</t>
  </si>
  <si>
    <t>4) Prior Year TIP Net Plant In Service</t>
  </si>
  <si>
    <t xml:space="preserve">Prior </t>
  </si>
  <si>
    <t xml:space="preserve">Total TIP </t>
  </si>
  <si>
    <t xml:space="preserve">Net Plant </t>
  </si>
  <si>
    <t>Rancho</t>
  </si>
  <si>
    <t>Vista</t>
  </si>
  <si>
    <t>←December of</t>
  </si>
  <si>
    <t>year previous</t>
  </si>
  <si>
    <t>to Prior Year</t>
  </si>
  <si>
    <t>5) Total Transmission Activity for Incentive Projects</t>
  </si>
  <si>
    <t>= C1 - C2</t>
  </si>
  <si>
    <t>Total Transmission</t>
  </si>
  <si>
    <t>Account 350-359</t>
  </si>
  <si>
    <t>Activity for</t>
  </si>
  <si>
    <t>360-362</t>
  </si>
  <si>
    <t>Projects</t>
  </si>
  <si>
    <t>Activity</t>
  </si>
  <si>
    <t xml:space="preserve">Source </t>
  </si>
  <si>
    <t>C1: Sum of below projects</t>
  </si>
  <si>
    <t>for each month</t>
  </si>
  <si>
    <t>6) Calculation of Prior Year Net Plant in Service amounts for each Incentive Project</t>
  </si>
  <si>
    <t>a) Tehachapi</t>
  </si>
  <si>
    <t>= C1 - Previous</t>
  </si>
  <si>
    <t>Month C1</t>
  </si>
  <si>
    <t>Accumulated</t>
  </si>
  <si>
    <t xml:space="preserve">Transmission </t>
  </si>
  <si>
    <t>In-Service</t>
  </si>
  <si>
    <t>b) Rancho Vista</t>
  </si>
  <si>
    <t>c) Devers to Colorado River</t>
  </si>
  <si>
    <t>d) Eldorado Ivanpah</t>
  </si>
  <si>
    <t>e) Lugo Pisgah</t>
  </si>
  <si>
    <t>f) Red Bluff</t>
  </si>
  <si>
    <t>g) Whirlwind Substation Expansion</t>
  </si>
  <si>
    <t>h) Colorado River Substation Expansion</t>
  </si>
  <si>
    <t>i) South of Kramer</t>
  </si>
  <si>
    <t>j) West of Devers</t>
  </si>
  <si>
    <t>6) Summary of Incentive Projects and incentives granted</t>
  </si>
  <si>
    <t>A) Rancho Vista Incentives Received:</t>
  </si>
  <si>
    <t>Cite:</t>
  </si>
  <si>
    <t>CWIP:</t>
  </si>
  <si>
    <t>Yes</t>
  </si>
  <si>
    <t>121 FERC ¶ 61,168 at P 57</t>
  </si>
  <si>
    <t>ROE adder:</t>
  </si>
  <si>
    <t>121 FERC ¶ 61,168 at P 129</t>
  </si>
  <si>
    <t>100% Abandoned Plant:</t>
  </si>
  <si>
    <t>No</t>
  </si>
  <si>
    <t>-------</t>
  </si>
  <si>
    <t>B) Tehachapi Incentives Received:</t>
  </si>
  <si>
    <t>121 FERC ¶ 61,168 at P 71</t>
  </si>
  <si>
    <t>C) Devers to  Colorado River Incentives Received:</t>
  </si>
  <si>
    <t>121 FERC ¶ 61,168 at 129; modified by ER10-160 Settlement, see</t>
  </si>
  <si>
    <t>P2 and P3</t>
  </si>
  <si>
    <t>D) Devers to  Palo Verde 2 Incentives Received:</t>
  </si>
  <si>
    <t>121 FERC ¶ 61,168 at P 57; modified by ER10-160 Settlement, see</t>
  </si>
  <si>
    <t xml:space="preserve">121 FERC ¶ 61,168 at P 129; modified by ER10-160 Settlement, see </t>
  </si>
  <si>
    <t>P 3 and P 7</t>
  </si>
  <si>
    <t>E) Eldorado Ivanpah Incentives Received:</t>
  </si>
  <si>
    <t>129 FERC ¶ 61,246 at P 55, and 133 FERC ¶ 61,108 at P 92</t>
  </si>
  <si>
    <t>133 FERC ¶ 61,108 at P 98</t>
  </si>
  <si>
    <t>129 FERC ¶ 61,246 at PP 68-69, and 133 FERC ¶ 61,108 at PP 85-86</t>
  </si>
  <si>
    <t>F) Lugo Pisgah Incentives Received:</t>
  </si>
  <si>
    <t>133 FERC ¶ 61,107 at P 76</t>
  </si>
  <si>
    <t>133 FERC ¶ 61,107 at P 102</t>
  </si>
  <si>
    <t>133 FERC ¶ 61,107 at P 88</t>
  </si>
  <si>
    <t>G) Red Bluff Incentives Received:</t>
  </si>
  <si>
    <t>H) Whirlwind Substation Expansion Incentives Received:</t>
  </si>
  <si>
    <t>134 FERC ¶ 61,181 at P 79</t>
  </si>
  <si>
    <t>I) Colorado River Substation Expansion Incentives Received:</t>
  </si>
  <si>
    <t>J) South of Kramer Incentives Received:</t>
  </si>
  <si>
    <t>K) West of Devers Incentives Received:</t>
  </si>
  <si>
    <t>L) Future Incentive Projects</t>
  </si>
  <si>
    <t xml:space="preserve">1) Upon Commission approval of any incentives for additional projects, add additional projects and provide cite to the </t>
  </si>
  <si>
    <t>Commission decision.</t>
  </si>
  <si>
    <t>(1) ADIT allocation error in Schedule 9, line 119</t>
  </si>
  <si>
    <t>(2) DCR work order costs re-classification from incentive to non-incentive.</t>
  </si>
  <si>
    <t>(3) Three work order re-classification from Account 350.1 to 350.2.</t>
  </si>
  <si>
    <t>Total One-Time Adjustment for 2014:</t>
  </si>
  <si>
    <t>1.</t>
  </si>
  <si>
    <t xml:space="preserve">2. </t>
  </si>
  <si>
    <r>
      <rPr>
        <b/>
        <sz val="12"/>
        <rFont val="Calibri"/>
        <family val="2"/>
        <scheme val="minor"/>
      </rPr>
      <t>Explanation of One Time Adjustment to Prior Period</t>
    </r>
  </si>
  <si>
    <r>
      <rPr>
        <b/>
        <sz val="12"/>
        <rFont val="Calibri"/>
        <family val="2"/>
        <scheme val="minor"/>
      </rPr>
      <t>True Up TRR Pursuant to Appendix IX, Attachment 1, Paragraph 3(d)(8)</t>
    </r>
  </si>
  <si>
    <r>
      <rPr>
        <b/>
        <sz val="12"/>
        <rFont val="Calibri"/>
        <family val="2"/>
        <scheme val="minor"/>
      </rPr>
      <t>Changes to 2012 True Up TRR:</t>
    </r>
  </si>
  <si>
    <r>
      <rPr>
        <b/>
        <sz val="12"/>
        <rFont val="Calibri"/>
        <family val="2"/>
        <scheme val="minor"/>
      </rPr>
      <t>Changes to 2013 True Up TRR:</t>
    </r>
  </si>
  <si>
    <t>2.</t>
  </si>
  <si>
    <t>6-PlantInService, Line 18</t>
  </si>
  <si>
    <t>6-PlantInService, Line 24</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</si>
  <si>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</si>
  <si>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</si>
  <si>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</si>
  <si>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</si>
  <si>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</si>
  <si>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</si>
  <si>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</si>
  <si>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</si>
  <si>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</si>
  <si>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</si>
  <si>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</si>
  <si>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</si>
  <si>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</si>
  <si>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</si>
  <si>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</si>
  <si>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</si>
  <si>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</si>
  <si>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</si>
  <si>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</si>
  <si>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</si>
  <si>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</si>
  <si>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</si>
  <si>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</si>
  <si>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</si>
  <si>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</si>
  <si>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</si>
  <si>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22-NUCs, Line 9</t>
  </si>
  <si>
    <t>34-UnfundedReserves, Line 7</t>
  </si>
  <si>
    <t>23-RegAssets, Line 15</t>
  </si>
  <si>
    <t>15-IncentiveAdder L 20</t>
  </si>
  <si>
    <t>28-FFU, L 5</t>
  </si>
  <si>
    <t>27-Allocators Lines 22 and 9 respectively.</t>
  </si>
  <si>
    <t>Note 3:  Allocate 'Remaining Amount of FIT Payable' based on Transmission Plant Allocation Factor (27-Allocators, Line 22)</t>
  </si>
  <si>
    <t>4) Column 12 matches 'Activity for Incentive Projects' on 14-IncentivePlant, Lines 39 to 52.  Other columns from SCE internal accounting records.</t>
  </si>
  <si>
    <t>35-PBOPs L 14</t>
  </si>
  <si>
    <t>27-Allocators, Line 9</t>
  </si>
  <si>
    <t>4) From 17-Depreciation, Lines 24 to 35.</t>
  </si>
  <si>
    <t>10-CWIP Lines 13, 14, and 80</t>
  </si>
  <si>
    <t>10-CWIP Lines 13, 14, and 106</t>
  </si>
  <si>
    <t>10-CWIP Lines 13, 14, and 132</t>
  </si>
  <si>
    <t>10-CWIP Lines 13, 14, and 158</t>
  </si>
  <si>
    <t>10-CWIP Lines 13, 14, and 184</t>
  </si>
  <si>
    <t>10-CWIP Lines 27, 28, and 210</t>
  </si>
  <si>
    <t>10-CWIP Lines 27, 28, and 236</t>
  </si>
  <si>
    <t>10-CWIP Lines 27, 28, and 262</t>
  </si>
  <si>
    <t>10-CWIP Lines 27, 28, and 288</t>
  </si>
  <si>
    <r>
      <t xml:space="preserve">During the preparation and review of TO10 draft posting, it was discovered that the description for </t>
    </r>
    <r>
      <rPr>
        <sz val="12"/>
        <rFont val="Calibri"/>
        <family val="2"/>
        <scheme val="minor"/>
      </rPr>
      <t>the Account 190 – Pension &amp; PBOB ADIT item (TO8 Schedule 9, line 119) was incorrect and thereby resulting in an allocation error.  Instead of “C: Relates to CIAC Non-ISO Property Costs”, the description should have been “C: Relates to all employees in all functions”. Therefore, this ADIT item should have been allocated to ISO based on Wages and Salary Allocation Factor.  Correcting this error increases the 2012 True Up TRR by $80,376.  A corrected Schedule 9 has been provided in these workpapers with the correction annotated.</t>
    </r>
  </si>
  <si>
    <t>In preparing the 2014 Plant Study, it was discovered that Work Order 900716073 associated with the Devers-Colorado River (“DCR”) project incorrectly received incentive rate treatment. The work order was related to the addition of communication conduit at Mirage Substation to accommodate fiber optic circuitry added as part of DCR.  Consequently, SCE removed the capital expenditures from CWIP on Schedule 10 in 2012. Correcting this error reduces the 2012 True Up TRR by $1,929.</t>
  </si>
  <si>
    <t>The Net impact of these two changes is to increase the 2012 True Up TRR by $78,447.</t>
  </si>
  <si>
    <t>As discussed above, during the preparation and review of TO10 draft posting, it was discovered that description for the Account 190 – Pension &amp; PBOB ADIT item (TO9 Schedule 9, line 119) was incorrect resulting in an allocation error.  Instead of “C: Relates to CIAC Non-ISO Property Costs”, the description should have been “C: Relates to all employees in all functions”.   Therefore, this ADIT item should have been allocated to ISO based on Wages and Salary Allocation Factor.  Correcting this error increases the 2013 True Up TRR by $76,858.</t>
  </si>
  <si>
    <t>The Net impact of these two changes is to increase the 2013 True Up TRR by $14,148.</t>
  </si>
  <si>
    <t>The total One-Time Adjustment for TO10, including interest to January 1, 2014 is $96,732.</t>
  </si>
  <si>
    <r>
      <t xml:space="preserve"> As discussed above, in preparing the 2014 Plant Study, we determinded that Work Order 900716073 associated with Devers-Colorado River (“DCR”) project incorrectly received incentive rate treatment in 2013. The work order was related to the addition of communication conduit at Mirage Substation to accommodate fiber optic circuitry added as part of DCR.  Consequently, SCE removed the capital expenditures from CWIP on Schedule 10 in 2013, as well as removed the expenditures from Schedules 6, and 8 since work was placed into service in 2013.  In addition, we have determined that Work Orders 800051690, 800051691, and 800452215 were improperly accounted for in 2013.  These three work orders were associated with securing rights of way for DCR and Tehachapi Renewable Transmission Project.  These projects were incorrectly placed into Account 350.1 rather than</t>
    </r>
    <r>
      <rPr>
        <sz val="12"/>
        <color rgb="FFFF0000"/>
        <rFont val="Calibri"/>
        <family val="2"/>
        <scheme val="minor"/>
      </rPr>
      <t xml:space="preserve"> </t>
    </r>
    <r>
      <rPr>
        <sz val="12"/>
        <rFont val="Calibri"/>
        <family val="2"/>
        <scheme val="minor"/>
      </rPr>
      <t>350.2. Consequently the depreciation expense was not properly calculated, given that the depreciation rates vary for the two accounts and these work orders were in service during 2013. Correcting for this error impacts Schedules 6, 8 and 14.  The impact of the plant related errors reduces the 2013 True Up TRR by $62,710.</t>
    </r>
  </si>
  <si>
    <t>TO10 Draft - WP Schedule 3 - One Time Adj True Up Adj, Page 5, Line 45.</t>
  </si>
  <si>
    <t>TO10 Draft - WP Schedule 3 - One Time Adj True Up Adj, Page 23, Line 45.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</si>
</sst>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44" formatCode="_(&quot;$&quot;* #,##0.00_);_(&quot;$&quot;* \(#,##0.00\);_(&quot;$&quot;* &quot;-&quot;??_);_(@_)"/>
    <numFmt numFmtId="43" formatCode="_(* #,##0.00_);_(* \(#,##0.00\);_(* &quot;-&quot;??_);_(@_)"/>
    <numFmt numFmtId="164" formatCode="&quot;$&quot;#,##0"/>
    <numFmt numFmtId="165" formatCode="_(* #,##0_);_(* \(#,##0\);_(* &quot;-&quot;??_);_(@_)"/>
    <numFmt numFmtId="166" formatCode="_-* #,##0.00\ _D_M_-;\-* #,##0.00\ _D_M_-;_-* &quot;-&quot;??\ _D_M_-;_-@_-"/>
    <numFmt numFmtId="167" formatCode="0.0000%"/>
    <numFmt numFmtId="168" formatCode="0.000%"/>
    <numFmt numFmtId="169" formatCode="&quot;$&quot;#,##0;[Red]&quot;$&quot;#,##0"/>
    <numFmt numFmtId="170" formatCode="&quot;$&quot;#,##0.00"/>
    <numFmt numFmtId="171" formatCode="0.000"/>
    <numFmt numFmtId="172" formatCode="_(&quot;$&quot;* #,##0_);_(&quot;$&quot;* \(#,##0\);_(&quot;$&quot;* &quot;-&quot;??_);_(@_)"/>
    <numFmt numFmtId="173" formatCode="&quot;$&quot;#,##0.0000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b/>
      <sz val="14"/>
      <color theme="1"/>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theme="1"/>
      <name val="Calibri"/>
      <family val="2"/>
      <scheme val="minor"/>
    </font>
    <font>
      <b/>
      <u/>
      <sz val="10"/>
      <color theme="1"/>
      <name val="Arial"/>
      <family val="2"/>
    </font>
    <font>
      <b/>
      <sz val="11"/>
      <name val="Calibri"/>
      <family val="2"/>
      <scheme val="minor"/>
    </font>
    <font>
      <b/>
      <i/>
      <sz val="10"/>
      <name val="Arial"/>
      <family val="2"/>
    </font>
    <font>
      <sz val="10"/>
      <color rgb="FFFF0000"/>
      <name val="Arial"/>
      <family val="2"/>
    </font>
    <font>
      <strike/>
      <sz val="10"/>
      <color theme="1"/>
      <name val="Arial"/>
      <family val="2"/>
    </font>
    <font>
      <sz val="10"/>
      <name val="Calibri"/>
      <family val="2"/>
      <scheme val="minor"/>
    </font>
    <font>
      <sz val="11"/>
      <name val="Calibri"/>
      <family val="2"/>
      <scheme val="minor"/>
    </font>
    <font>
      <u/>
      <sz val="11"/>
      <name val="Calibri"/>
      <family val="2"/>
      <scheme val="minor"/>
    </font>
    <font>
      <sz val="12"/>
      <name val="Times New Roman"/>
      <family val="1"/>
    </font>
    <font>
      <sz val="8"/>
      <name val="Arial"/>
      <family val="2"/>
    </font>
    <font>
      <b/>
      <sz val="10"/>
      <color rgb="FFFF0000"/>
      <name val="Arial"/>
      <family val="2"/>
    </font>
    <font>
      <u/>
      <sz val="10"/>
      <color rgb="FFFF0000"/>
      <name val="Arial"/>
      <family val="2"/>
    </font>
    <font>
      <u/>
      <sz val="10"/>
      <color theme="1"/>
      <name val="Arial"/>
      <family val="2"/>
    </font>
    <font>
      <sz val="8"/>
      <name val="Times New Roman"/>
      <family val="1"/>
    </font>
    <font>
      <sz val="10"/>
      <color rgb="FF000000"/>
      <name val="Arial"/>
      <family val="2"/>
    </font>
    <font>
      <sz val="10"/>
      <color rgb="FF000000"/>
      <name val="Times New Roman"/>
      <family val="1"/>
    </font>
    <font>
      <b/>
      <sz val="12"/>
      <name val="Calibri"/>
      <family val="2"/>
      <scheme val="minor"/>
    </font>
    <font>
      <sz val="12"/>
      <color rgb="FF000000"/>
      <name val="Calibri"/>
      <family val="2"/>
      <scheme val="minor"/>
    </font>
    <font>
      <sz val="12"/>
      <name val="Calibri"/>
      <family val="2"/>
      <scheme val="minor"/>
    </font>
    <font>
      <sz val="12"/>
      <color rgb="FFFF0000"/>
      <name val="Calibri"/>
      <family val="2"/>
      <scheme val="minor"/>
    </font>
  </fonts>
  <fills count="40">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99CCFF"/>
        <bgColor indexed="64"/>
      </patternFill>
    </fill>
    <fill>
      <patternFill patternType="solid">
        <fgColor theme="3" tint="0.59996337778862885"/>
        <bgColor indexed="64"/>
      </patternFill>
    </fill>
    <fill>
      <patternFill patternType="solid">
        <fgColor rgb="FFFFCCCC"/>
        <bgColor indexed="64"/>
      </patternFill>
    </fill>
    <fill>
      <patternFill patternType="solid">
        <fgColor indexed="13"/>
        <bgColor indexed="64"/>
      </patternFill>
    </fill>
    <fill>
      <patternFill patternType="solid">
        <fgColor rgb="FFFFFFFF"/>
      </patternFill>
    </fill>
  </fills>
  <borders count="45">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top/>
      <bottom style="medium">
        <color rgb="FFFF0000"/>
      </bottom>
      <diagonal/>
    </border>
    <border>
      <left style="medium">
        <color rgb="FFFF0000"/>
      </left>
      <right/>
      <top/>
      <bottom style="medium">
        <color rgb="FFFF0000"/>
      </bottom>
      <diagonal/>
    </border>
    <border>
      <left style="medium">
        <color rgb="FFFF0000"/>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auto="1"/>
      </top>
      <bottom/>
      <diagonal/>
    </border>
    <border>
      <left/>
      <right style="medium">
        <color rgb="FFFF0000"/>
      </right>
      <top/>
      <bottom/>
      <diagonal/>
    </border>
    <border>
      <left style="medium">
        <color rgb="FFFF0000"/>
      </left>
      <right/>
      <top style="medium">
        <color rgb="FFFF0000"/>
      </top>
      <bottom/>
      <diagonal/>
    </border>
    <border>
      <left style="medium">
        <color rgb="FFFF0000"/>
      </left>
      <right style="medium">
        <color rgb="FFFF0000"/>
      </right>
      <top style="medium">
        <color rgb="FFFF0000"/>
      </top>
      <bottom style="medium">
        <color rgb="FFFF0000"/>
      </bottom>
      <diagonal/>
    </border>
    <border>
      <left/>
      <right/>
      <top style="medium">
        <color rgb="FFFF0000"/>
      </top>
      <bottom/>
      <diagonal/>
    </border>
    <border>
      <left/>
      <right style="medium">
        <color rgb="FFFF0000"/>
      </right>
      <top style="medium">
        <color rgb="FFFF0000"/>
      </top>
      <bottom/>
      <diagonal/>
    </border>
  </borders>
  <cellStyleXfs count="213">
    <xf numFmtId="0" fontId="0" fillId="0" borderId="0"/>
    <xf numFmtId="0" fontId="19" fillId="8" borderId="0" applyNumberFormat="0" applyBorder="0" applyAlignment="0" applyProtection="0"/>
    <xf numFmtId="0" fontId="19" fillId="9" borderId="0" applyNumberFormat="0" applyBorder="0" applyAlignment="0" applyProtection="0"/>
    <xf numFmtId="0" fontId="20" fillId="10"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20" fillId="14"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20" fillId="1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9" fillId="20" borderId="0" applyNumberFormat="0" applyBorder="0" applyAlignment="0" applyProtection="0"/>
    <xf numFmtId="0" fontId="19" fillId="13" borderId="0" applyNumberFormat="0" applyBorder="0" applyAlignment="0" applyProtection="0"/>
    <xf numFmtId="0" fontId="20" fillId="21" borderId="0" applyNumberFormat="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9" fontId="25" fillId="0" borderId="0" applyFont="0" applyFill="0" applyBorder="0" applyAlignment="0" applyProtection="0"/>
    <xf numFmtId="9" fontId="17" fillId="0" borderId="0" applyFont="0" applyFill="0" applyBorder="0" applyAlignment="0" applyProtection="0"/>
    <xf numFmtId="4" fontId="24" fillId="25" borderId="1" applyNumberFormat="0" applyProtection="0">
      <alignment vertical="center"/>
    </xf>
    <xf numFmtId="4" fontId="26" fillId="25" borderId="1" applyNumberFormat="0" applyProtection="0">
      <alignment vertical="center"/>
    </xf>
    <xf numFmtId="4" fontId="24" fillId="25" borderId="1" applyNumberFormat="0" applyProtection="0">
      <alignment horizontal="left" vertical="center" indent="1"/>
    </xf>
    <xf numFmtId="0" fontId="24" fillId="25" borderId="1" applyNumberFormat="0" applyProtection="0">
      <alignment horizontal="left" vertical="top" indent="1"/>
    </xf>
    <xf numFmtId="4" fontId="24" fillId="27" borderId="0" applyNumberFormat="0" applyProtection="0">
      <alignment horizontal="left" vertical="center" indent="1"/>
    </xf>
    <xf numFmtId="4" fontId="22" fillId="2" borderId="1" applyNumberFormat="0" applyProtection="0">
      <alignment horizontal="right" vertical="center"/>
    </xf>
    <xf numFmtId="4" fontId="22" fillId="4" borderId="1" applyNumberFormat="0" applyProtection="0">
      <alignment horizontal="right" vertical="center"/>
    </xf>
    <xf numFmtId="4" fontId="22" fillId="11" borderId="1" applyNumberFormat="0" applyProtection="0">
      <alignment horizontal="right" vertical="center"/>
    </xf>
    <xf numFmtId="4" fontId="22" fillId="6" borderId="1" applyNumberFormat="0" applyProtection="0">
      <alignment horizontal="right" vertical="center"/>
    </xf>
    <xf numFmtId="4" fontId="22" fillId="7" borderId="1" applyNumberFormat="0" applyProtection="0">
      <alignment horizontal="right" vertical="center"/>
    </xf>
    <xf numFmtId="4" fontId="22" fillId="19" borderId="1" applyNumberFormat="0" applyProtection="0">
      <alignment horizontal="right" vertical="center"/>
    </xf>
    <xf numFmtId="4" fontId="22" fillId="15" borderId="1" applyNumberFormat="0" applyProtection="0">
      <alignment horizontal="right" vertical="center"/>
    </xf>
    <xf numFmtId="4" fontId="22" fillId="28" borderId="1" applyNumberFormat="0" applyProtection="0">
      <alignment horizontal="right" vertical="center"/>
    </xf>
    <xf numFmtId="4" fontId="22" fillId="5" borderId="1" applyNumberFormat="0" applyProtection="0">
      <alignment horizontal="right" vertical="center"/>
    </xf>
    <xf numFmtId="4" fontId="24" fillId="29" borderId="2" applyNumberFormat="0" applyProtection="0">
      <alignment horizontal="left" vertical="center" indent="1"/>
    </xf>
    <xf numFmtId="4" fontId="22" fillId="30" borderId="0" applyNumberFormat="0" applyProtection="0">
      <alignment horizontal="left" vertical="center" indent="1"/>
    </xf>
    <xf numFmtId="4" fontId="27" fillId="31" borderId="0" applyNumberFormat="0" applyProtection="0">
      <alignment horizontal="left" vertical="center" indent="1"/>
    </xf>
    <xf numFmtId="4" fontId="22" fillId="27" borderId="1" applyNumberFormat="0" applyProtection="0">
      <alignment horizontal="right" vertical="center"/>
    </xf>
    <xf numFmtId="4" fontId="22" fillId="30" borderId="0" applyNumberFormat="0" applyProtection="0">
      <alignment horizontal="left" vertical="center" indent="1"/>
    </xf>
    <xf numFmtId="4" fontId="22" fillId="27" borderId="0" applyNumberFormat="0" applyProtection="0">
      <alignment horizontal="left" vertical="center" indent="1"/>
    </xf>
    <xf numFmtId="0" fontId="17" fillId="31" borderId="1" applyNumberFormat="0" applyProtection="0">
      <alignment horizontal="left" vertical="center" indent="1"/>
    </xf>
    <xf numFmtId="0" fontId="17" fillId="31" borderId="1" applyNumberFormat="0" applyProtection="0">
      <alignment horizontal="left" vertical="top" indent="1"/>
    </xf>
    <xf numFmtId="0" fontId="17" fillId="27" borderId="1" applyNumberFormat="0" applyProtection="0">
      <alignment horizontal="left" vertical="center" indent="1"/>
    </xf>
    <xf numFmtId="0" fontId="17" fillId="27" borderId="1" applyNumberFormat="0" applyProtection="0">
      <alignment horizontal="left" vertical="top" indent="1"/>
    </xf>
    <xf numFmtId="0" fontId="17" fillId="3" borderId="1" applyNumberFormat="0" applyProtection="0">
      <alignment horizontal="left" vertical="center" indent="1"/>
    </xf>
    <xf numFmtId="0" fontId="17" fillId="3" borderId="1" applyNumberFormat="0" applyProtection="0">
      <alignment horizontal="left" vertical="top" indent="1"/>
    </xf>
    <xf numFmtId="0" fontId="17" fillId="30" borderId="1" applyNumberFormat="0" applyProtection="0">
      <alignment horizontal="left" vertical="center" indent="1"/>
    </xf>
    <xf numFmtId="0" fontId="17" fillId="30" borderId="1" applyNumberFormat="0" applyProtection="0">
      <alignment horizontal="left" vertical="top" indent="1"/>
    </xf>
    <xf numFmtId="0" fontId="17" fillId="32" borderId="3" applyNumberFormat="0">
      <protection locked="0"/>
    </xf>
    <xf numFmtId="4" fontId="22" fillId="26" borderId="1" applyNumberFormat="0" applyProtection="0">
      <alignment vertical="center"/>
    </xf>
    <xf numFmtId="4" fontId="28" fillId="26" borderId="1" applyNumberFormat="0" applyProtection="0">
      <alignment vertical="center"/>
    </xf>
    <xf numFmtId="4" fontId="22" fillId="26" borderId="1" applyNumberFormat="0" applyProtection="0">
      <alignment horizontal="left" vertical="center" indent="1"/>
    </xf>
    <xf numFmtId="0" fontId="22" fillId="26" borderId="1" applyNumberFormat="0" applyProtection="0">
      <alignment horizontal="left" vertical="top" indent="1"/>
    </xf>
    <xf numFmtId="4" fontId="22" fillId="30" borderId="1" applyNumberFormat="0" applyProtection="0">
      <alignment horizontal="right" vertical="center"/>
    </xf>
    <xf numFmtId="4" fontId="28" fillId="30" borderId="1" applyNumberFormat="0" applyProtection="0">
      <alignment horizontal="right" vertical="center"/>
    </xf>
    <xf numFmtId="4" fontId="22" fillId="27" borderId="1" applyNumberFormat="0" applyProtection="0">
      <alignment horizontal="left" vertical="center" indent="1"/>
    </xf>
    <xf numFmtId="0" fontId="22" fillId="27" borderId="1" applyNumberFormat="0" applyProtection="0">
      <alignment horizontal="left" vertical="top" indent="1"/>
    </xf>
    <xf numFmtId="4" fontId="29" fillId="33" borderId="0" applyNumberFormat="0" applyProtection="0">
      <alignment horizontal="left" vertical="center" indent="1"/>
    </xf>
    <xf numFmtId="4" fontId="23" fillId="30" borderId="1" applyNumberFormat="0" applyProtection="0">
      <alignment horizontal="right" vertical="center"/>
    </xf>
    <xf numFmtId="0" fontId="30" fillId="0" borderId="0" applyNumberFormat="0" applyFill="0" applyBorder="0" applyAlignment="0" applyProtection="0"/>
    <xf numFmtId="0" fontId="15" fillId="0" borderId="0"/>
    <xf numFmtId="0" fontId="14" fillId="0" borderId="0"/>
    <xf numFmtId="0" fontId="14" fillId="0" borderId="0"/>
    <xf numFmtId="166" fontId="15" fillId="0" borderId="0" applyFont="0" applyFill="0" applyBorder="0" applyAlignment="0" applyProtection="0"/>
    <xf numFmtId="0" fontId="15" fillId="31" borderId="1" applyNumberFormat="0" applyProtection="0">
      <alignment horizontal="left" vertical="center" indent="1"/>
    </xf>
    <xf numFmtId="0" fontId="15" fillId="31" borderId="1" applyNumberFormat="0" applyProtection="0">
      <alignment horizontal="left" vertical="top" indent="1"/>
    </xf>
    <xf numFmtId="0" fontId="15" fillId="27" borderId="1" applyNumberFormat="0" applyProtection="0">
      <alignment horizontal="left" vertical="center" indent="1"/>
    </xf>
    <xf numFmtId="0" fontId="15" fillId="27" borderId="1" applyNumberFormat="0" applyProtection="0">
      <alignment horizontal="left" vertical="top" indent="1"/>
    </xf>
    <xf numFmtId="0" fontId="15" fillId="3" borderId="1" applyNumberFormat="0" applyProtection="0">
      <alignment horizontal="left" vertical="center" indent="1"/>
    </xf>
    <xf numFmtId="0" fontId="15" fillId="3" borderId="1" applyNumberFormat="0" applyProtection="0">
      <alignment horizontal="left" vertical="top" indent="1"/>
    </xf>
    <xf numFmtId="0" fontId="15" fillId="30" borderId="1" applyNumberFormat="0" applyProtection="0">
      <alignment horizontal="left" vertical="center" indent="1"/>
    </xf>
    <xf numFmtId="0" fontId="15" fillId="30" borderId="1" applyNumberFormat="0" applyProtection="0">
      <alignment horizontal="left" vertical="top" indent="1"/>
    </xf>
    <xf numFmtId="0" fontId="15" fillId="32" borderId="3" applyNumberFormat="0">
      <protection locked="0"/>
    </xf>
    <xf numFmtId="0" fontId="35"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6" fontId="15" fillId="0" borderId="0" applyFont="0" applyFill="0" applyBorder="0" applyAlignment="0" applyProtection="0"/>
    <xf numFmtId="44" fontId="15"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9" fontId="15" fillId="0" borderId="0" applyFont="0" applyFill="0" applyBorder="0" applyAlignment="0" applyProtection="0"/>
    <xf numFmtId="0" fontId="15" fillId="0" borderId="0"/>
    <xf numFmtId="0" fontId="15" fillId="0" borderId="0"/>
    <xf numFmtId="0" fontId="13" fillId="0" borderId="0"/>
    <xf numFmtId="0" fontId="13" fillId="0" borderId="0"/>
    <xf numFmtId="0" fontId="12" fillId="0" borderId="0"/>
    <xf numFmtId="0" fontId="12"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15" fillId="0" borderId="0"/>
    <xf numFmtId="0" fontId="15" fillId="0" borderId="0"/>
    <xf numFmtId="0" fontId="15" fillId="0" borderId="0"/>
    <xf numFmtId="0" fontId="25" fillId="0" borderId="0"/>
    <xf numFmtId="0" fontId="25" fillId="0" borderId="0"/>
    <xf numFmtId="0" fontId="25" fillId="0" borderId="0"/>
    <xf numFmtId="0" fontId="25" fillId="0" borderId="0"/>
    <xf numFmtId="0" fontId="25" fillId="0" borderId="0"/>
    <xf numFmtId="43" fontId="32" fillId="0" borderId="0" applyFont="0" applyFill="0" applyBorder="0" applyAlignment="0" applyProtection="0"/>
    <xf numFmtId="9" fontId="15" fillId="0" borderId="0" applyFont="0" applyFill="0" applyBorder="0" applyAlignment="0" applyProtection="0"/>
    <xf numFmtId="0" fontId="15" fillId="0" borderId="0"/>
    <xf numFmtId="0" fontId="8" fillId="0" borderId="0"/>
    <xf numFmtId="0" fontId="8" fillId="0" borderId="0"/>
    <xf numFmtId="0" fontId="8" fillId="0" borderId="0"/>
    <xf numFmtId="43" fontId="15" fillId="0" borderId="0" applyFont="0" applyFill="0" applyBorder="0" applyAlignment="0" applyProtection="0"/>
    <xf numFmtId="44" fontId="15" fillId="0" borderId="0" applyFont="0" applyFill="0" applyBorder="0" applyAlignment="0" applyProtection="0"/>
    <xf numFmtId="9" fontId="1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9" fontId="7"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4" fontId="24" fillId="29" borderId="20" applyNumberFormat="0" applyProtection="0">
      <alignment horizontal="left" vertical="center" inden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2" fillId="0" borderId="0"/>
    <xf numFmtId="38" fontId="55" fillId="0" borderId="0"/>
    <xf numFmtId="0" fontId="15" fillId="0" borderId="0"/>
    <xf numFmtId="0" fontId="2" fillId="0" borderId="0"/>
    <xf numFmtId="0" fontId="57" fillId="0" borderId="0"/>
    <xf numFmtId="43" fontId="15" fillId="0" borderId="0" applyFont="0" applyFill="0" applyBorder="0" applyAlignment="0" applyProtection="0"/>
  </cellStyleXfs>
  <cellXfs count="554">
    <xf numFmtId="0" fontId="0" fillId="0" borderId="0" xfId="0"/>
    <xf numFmtId="0" fontId="6" fillId="0" borderId="0" xfId="157"/>
    <xf numFmtId="0" fontId="31" fillId="35" borderId="3" xfId="157" applyFont="1" applyFill="1" applyBorder="1" applyAlignment="1">
      <alignment horizontal="center"/>
    </xf>
    <xf numFmtId="0" fontId="6" fillId="0" borderId="0" xfId="157" applyFill="1"/>
    <xf numFmtId="3" fontId="6" fillId="0" borderId="3" xfId="157" applyNumberFormat="1" applyBorder="1" applyAlignment="1">
      <alignment horizontal="center"/>
    </xf>
    <xf numFmtId="0" fontId="6" fillId="0" borderId="3" xfId="157" applyBorder="1"/>
    <xf numFmtId="3" fontId="0" fillId="0" borderId="3" xfId="158" applyNumberFormat="1" applyFont="1" applyFill="1" applyBorder="1" applyAlignment="1">
      <alignment horizontal="center"/>
    </xf>
    <xf numFmtId="3" fontId="31" fillId="0" borderId="3" xfId="157" applyNumberFormat="1" applyFont="1" applyFill="1" applyBorder="1" applyAlignment="1">
      <alignment horizontal="center"/>
    </xf>
    <xf numFmtId="165" fontId="6" fillId="0" borderId="7" xfId="157" applyNumberFormat="1" applyBorder="1"/>
    <xf numFmtId="165" fontId="0" fillId="0" borderId="17" xfId="158" applyNumberFormat="1" applyFont="1" applyFill="1" applyBorder="1"/>
    <xf numFmtId="165" fontId="31" fillId="0" borderId="19" xfId="157" applyNumberFormat="1" applyFont="1" applyFill="1" applyBorder="1"/>
    <xf numFmtId="0" fontId="31" fillId="36" borderId="12" xfId="157" applyFont="1" applyFill="1" applyBorder="1"/>
    <xf numFmtId="0" fontId="6" fillId="36" borderId="13" xfId="157" applyFill="1" applyBorder="1"/>
    <xf numFmtId="0" fontId="6" fillId="36" borderId="14" xfId="157" applyFill="1" applyBorder="1"/>
    <xf numFmtId="0" fontId="6" fillId="0" borderId="0" xfId="157" applyBorder="1"/>
    <xf numFmtId="0" fontId="16" fillId="0" borderId="0" xfId="157" applyFont="1" applyBorder="1" applyAlignment="1">
      <alignment horizontal="center"/>
    </xf>
    <xf numFmtId="0" fontId="18" fillId="0" borderId="0" xfId="157" quotePrefix="1" applyFont="1" applyBorder="1" applyAlignment="1">
      <alignment horizontal="center"/>
    </xf>
    <xf numFmtId="0" fontId="18" fillId="0" borderId="16" xfId="157" quotePrefix="1" applyFont="1" applyBorder="1" applyAlignment="1">
      <alignment horizontal="center"/>
    </xf>
    <xf numFmtId="0" fontId="31" fillId="0" borderId="0" xfId="157" applyFont="1" applyBorder="1" applyAlignment="1">
      <alignment horizontal="center" vertical="top" wrapText="1"/>
    </xf>
    <xf numFmtId="0" fontId="32" fillId="0" borderId="0" xfId="157" applyFont="1" applyBorder="1"/>
    <xf numFmtId="0" fontId="16" fillId="0" borderId="16" xfId="157" applyFont="1" applyBorder="1" applyAlignment="1">
      <alignment horizontal="center"/>
    </xf>
    <xf numFmtId="0" fontId="31" fillId="0" borderId="0" xfId="157" applyFont="1" applyBorder="1" applyAlignment="1">
      <alignment horizontal="center"/>
    </xf>
    <xf numFmtId="0" fontId="33" fillId="0" borderId="0" xfId="157" applyFont="1" applyBorder="1" applyAlignment="1">
      <alignment horizontal="center"/>
    </xf>
    <xf numFmtId="0" fontId="6" fillId="0" borderId="15" xfId="157" applyBorder="1"/>
    <xf numFmtId="0" fontId="6" fillId="0" borderId="0" xfId="157" quotePrefix="1" applyBorder="1" applyAlignment="1">
      <alignment horizontal="center"/>
    </xf>
    <xf numFmtId="10" fontId="0" fillId="0" borderId="0" xfId="159" applyNumberFormat="1" applyFont="1" applyBorder="1"/>
    <xf numFmtId="164" fontId="32" fillId="34" borderId="0" xfId="157" applyNumberFormat="1" applyFont="1" applyFill="1" applyBorder="1"/>
    <xf numFmtId="164" fontId="32" fillId="0" borderId="0" xfId="157" applyNumberFormat="1" applyFont="1" applyBorder="1" applyAlignment="1">
      <alignment horizontal="right"/>
    </xf>
    <xf numFmtId="164" fontId="32" fillId="0" borderId="0" xfId="157" applyNumberFormat="1" applyFont="1" applyFill="1" applyBorder="1" applyAlignment="1">
      <alignment horizontal="right"/>
    </xf>
    <xf numFmtId="164" fontId="32" fillId="0" borderId="16" xfId="157" applyNumberFormat="1" applyFont="1" applyBorder="1" applyAlignment="1">
      <alignment horizontal="right"/>
    </xf>
    <xf numFmtId="0" fontId="31" fillId="0" borderId="13" xfId="157" applyFont="1" applyBorder="1"/>
    <xf numFmtId="0" fontId="31" fillId="0" borderId="13" xfId="157" applyFont="1" applyBorder="1" applyAlignment="1">
      <alignment horizontal="right"/>
    </xf>
    <xf numFmtId="164" fontId="31" fillId="0" borderId="13" xfId="157" applyNumberFormat="1" applyFont="1" applyBorder="1"/>
    <xf numFmtId="164" fontId="31" fillId="0" borderId="14" xfId="157" applyNumberFormat="1" applyFont="1" applyBorder="1"/>
    <xf numFmtId="0" fontId="31" fillId="0" borderId="0" xfId="157" applyFont="1" applyAlignment="1">
      <alignment horizontal="center"/>
    </xf>
    <xf numFmtId="0" fontId="31" fillId="0" borderId="0" xfId="157" applyFont="1"/>
    <xf numFmtId="0" fontId="16" fillId="0" borderId="0" xfId="157" applyFont="1" applyAlignment="1">
      <alignment horizontal="center"/>
    </xf>
    <xf numFmtId="0" fontId="6" fillId="0" borderId="0" xfId="157" quotePrefix="1"/>
    <xf numFmtId="164" fontId="6" fillId="0" borderId="0" xfId="157" applyNumberFormat="1"/>
    <xf numFmtId="0" fontId="6" fillId="0" borderId="0" xfId="157" applyAlignment="1">
      <alignment horizontal="right"/>
    </xf>
    <xf numFmtId="164" fontId="6" fillId="0" borderId="0" xfId="157" applyNumberFormat="1" applyFont="1"/>
    <xf numFmtId="0" fontId="18" fillId="0" borderId="0" xfId="157" applyFont="1" applyBorder="1" applyAlignment="1">
      <alignment horizontal="center" vertical="top"/>
    </xf>
    <xf numFmtId="0" fontId="34" fillId="0" borderId="0" xfId="157" applyFont="1" applyBorder="1" applyAlignment="1">
      <alignment horizontal="center" vertical="top"/>
    </xf>
    <xf numFmtId="0" fontId="34" fillId="0" borderId="15" xfId="157" applyFont="1" applyBorder="1" applyAlignment="1">
      <alignment horizontal="center" vertical="top"/>
    </xf>
    <xf numFmtId="0" fontId="18" fillId="0" borderId="16" xfId="157" applyFont="1" applyBorder="1" applyAlignment="1">
      <alignment horizontal="center" vertical="top"/>
    </xf>
    <xf numFmtId="0" fontId="4" fillId="0" borderId="0" xfId="157" quotePrefix="1" applyFont="1" applyBorder="1" applyAlignment="1">
      <alignment horizontal="center"/>
    </xf>
    <xf numFmtId="0" fontId="6" fillId="36" borderId="0" xfId="157" applyFill="1" applyBorder="1"/>
    <xf numFmtId="164" fontId="36" fillId="0" borderId="23" xfId="157" applyNumberFormat="1" applyFont="1" applyBorder="1" applyAlignment="1"/>
    <xf numFmtId="0" fontId="31" fillId="36" borderId="24" xfId="157" applyFont="1" applyFill="1" applyBorder="1"/>
    <xf numFmtId="0" fontId="6" fillId="36" borderId="25" xfId="157" applyFill="1" applyBorder="1"/>
    <xf numFmtId="0" fontId="6" fillId="36" borderId="26" xfId="157" applyFill="1" applyBorder="1"/>
    <xf numFmtId="0" fontId="6" fillId="0" borderId="27" xfId="157" applyBorder="1"/>
    <xf numFmtId="0" fontId="6" fillId="0" borderId="28" xfId="157" applyBorder="1"/>
    <xf numFmtId="0" fontId="3" fillId="0" borderId="3" xfId="157" applyFont="1" applyBorder="1"/>
    <xf numFmtId="0" fontId="3" fillId="0" borderId="0" xfId="157" quotePrefix="1" applyFont="1" applyBorder="1" applyAlignment="1">
      <alignment horizontal="center"/>
    </xf>
    <xf numFmtId="0" fontId="6" fillId="0" borderId="29" xfId="157" applyBorder="1"/>
    <xf numFmtId="0" fontId="16" fillId="0" borderId="0" xfId="0" applyFont="1"/>
    <xf numFmtId="0" fontId="0" fillId="0" borderId="0" xfId="0" applyFill="1"/>
    <xf numFmtId="0" fontId="16" fillId="0" borderId="0" xfId="0" applyFont="1" applyAlignment="1">
      <alignment horizontal="left"/>
    </xf>
    <xf numFmtId="0" fontId="16" fillId="0" borderId="0" xfId="0" applyFont="1" applyAlignment="1">
      <alignment horizontal="left" indent="1"/>
    </xf>
    <xf numFmtId="0" fontId="16" fillId="0" borderId="0" xfId="0" applyFont="1" applyAlignment="1">
      <alignment horizontal="center"/>
    </xf>
    <xf numFmtId="0" fontId="18" fillId="0" borderId="0" xfId="0" applyFont="1" applyAlignment="1">
      <alignment horizontal="left"/>
    </xf>
    <xf numFmtId="0" fontId="0" fillId="0" borderId="0" xfId="0" applyAlignment="1">
      <alignment horizontal="left" indent="1"/>
    </xf>
    <xf numFmtId="0" fontId="18" fillId="0" borderId="0" xfId="0" applyFont="1"/>
    <xf numFmtId="0" fontId="18" fillId="0" borderId="0" xfId="0" applyFont="1" applyAlignment="1">
      <alignment horizontal="center"/>
    </xf>
    <xf numFmtId="0" fontId="16" fillId="0" borderId="0" xfId="0" applyFont="1" applyFill="1" applyAlignment="1">
      <alignment horizontal="center"/>
    </xf>
    <xf numFmtId="0" fontId="15" fillId="0" borderId="0" xfId="0" applyFont="1" applyFill="1" applyAlignment="1">
      <alignment horizontal="left"/>
    </xf>
    <xf numFmtId="164" fontId="0" fillId="0" borderId="0" xfId="0" applyNumberFormat="1" applyFill="1" applyBorder="1"/>
    <xf numFmtId="0" fontId="15" fillId="0" borderId="0" xfId="0" applyFont="1" applyFill="1"/>
    <xf numFmtId="0" fontId="38" fillId="0" borderId="0" xfId="0" applyFont="1" applyFill="1"/>
    <xf numFmtId="0" fontId="15" fillId="0" borderId="0" xfId="0" applyFont="1" applyFill="1" applyAlignment="1">
      <alignment horizontal="left" indent="1"/>
    </xf>
    <xf numFmtId="0" fontId="0" fillId="0" borderId="0" xfId="0" applyFill="1" applyAlignment="1">
      <alignment horizontal="left" indent="1"/>
    </xf>
    <xf numFmtId="164" fontId="38" fillId="0" borderId="0" xfId="0" applyNumberFormat="1" applyFont="1" applyFill="1" applyBorder="1"/>
    <xf numFmtId="0" fontId="38" fillId="0" borderId="0" xfId="0" applyFont="1" applyFill="1" applyAlignment="1">
      <alignment horizontal="left"/>
    </xf>
    <xf numFmtId="0" fontId="16" fillId="0" borderId="0" xfId="93" applyNumberFormat="1" applyFont="1" applyFill="1" applyBorder="1" applyAlignment="1">
      <alignment horizontal="left"/>
    </xf>
    <xf numFmtId="0" fontId="15" fillId="0" borderId="0" xfId="93" applyFont="1" applyFill="1" applyBorder="1" applyAlignment="1">
      <alignment horizontal="left" indent="1"/>
    </xf>
    <xf numFmtId="0" fontId="0" fillId="0" borderId="0" xfId="0" applyFill="1" applyAlignment="1">
      <alignment horizontal="left"/>
    </xf>
    <xf numFmtId="164" fontId="0" fillId="37" borderId="0" xfId="0" applyNumberFormat="1" applyFill="1" applyBorder="1"/>
    <xf numFmtId="0" fontId="0" fillId="0" borderId="0" xfId="0" applyFill="1" applyBorder="1"/>
    <xf numFmtId="0" fontId="16" fillId="0" borderId="0" xfId="0" applyFont="1" applyFill="1"/>
    <xf numFmtId="0" fontId="18" fillId="0" borderId="0" xfId="0" applyFont="1" applyFill="1" applyAlignment="1">
      <alignment horizontal="left"/>
    </xf>
    <xf numFmtId="167" fontId="15" fillId="0" borderId="0" xfId="0" applyNumberFormat="1" applyFont="1" applyFill="1" applyBorder="1"/>
    <xf numFmtId="164" fontId="15" fillId="37" borderId="0" xfId="0" applyNumberFormat="1" applyFont="1" applyFill="1" applyBorder="1"/>
    <xf numFmtId="0" fontId="15" fillId="0" borderId="0" xfId="0" applyFont="1" applyFill="1" applyBorder="1"/>
    <xf numFmtId="167" fontId="0" fillId="0" borderId="0" xfId="0" applyNumberFormat="1" applyFill="1" applyBorder="1"/>
    <xf numFmtId="164" fontId="15" fillId="0" borderId="0" xfId="0" applyNumberFormat="1" applyFont="1" applyFill="1" applyBorder="1"/>
    <xf numFmtId="0" fontId="15" fillId="0" borderId="0" xfId="101" applyFont="1" applyFill="1"/>
    <xf numFmtId="0" fontId="15" fillId="0" borderId="0" xfId="101" applyFill="1"/>
    <xf numFmtId="164" fontId="0" fillId="0" borderId="0" xfId="0" applyNumberFormat="1" applyFill="1"/>
    <xf numFmtId="0" fontId="16" fillId="0" borderId="0" xfId="0" applyFont="1" applyFill="1" applyAlignment="1">
      <alignment horizontal="left"/>
    </xf>
    <xf numFmtId="0" fontId="0" fillId="0" borderId="0" xfId="0" applyAlignment="1">
      <alignment horizontal="left"/>
    </xf>
    <xf numFmtId="0" fontId="15" fillId="0" borderId="0" xfId="0" applyFont="1" applyFill="1" applyAlignment="1">
      <alignment horizontal="right"/>
    </xf>
    <xf numFmtId="0" fontId="16" fillId="37" borderId="30" xfId="0" applyFont="1" applyFill="1" applyBorder="1" applyAlignment="1">
      <alignment horizontal="center"/>
    </xf>
    <xf numFmtId="168" fontId="0" fillId="0" borderId="0" xfId="0" applyNumberFormat="1" applyFill="1" applyBorder="1"/>
    <xf numFmtId="0" fontId="16" fillId="37" borderId="31" xfId="0" applyFont="1" applyFill="1" applyBorder="1" applyAlignment="1">
      <alignment horizontal="center"/>
    </xf>
    <xf numFmtId="0" fontId="0" fillId="0" borderId="0" xfId="0" applyFill="1" applyAlignment="1">
      <alignment horizontal="right"/>
    </xf>
    <xf numFmtId="164" fontId="15" fillId="37" borderId="31" xfId="0" applyNumberFormat="1" applyFont="1" applyFill="1" applyBorder="1"/>
    <xf numFmtId="169" fontId="38" fillId="37" borderId="31" xfId="0" applyNumberFormat="1" applyFont="1" applyFill="1" applyBorder="1"/>
    <xf numFmtId="164" fontId="32" fillId="37" borderId="32" xfId="0" applyNumberFormat="1" applyFont="1" applyFill="1" applyBorder="1"/>
    <xf numFmtId="0" fontId="16" fillId="0" borderId="0" xfId="0" applyNumberFormat="1" applyFont="1" applyFill="1" applyAlignment="1">
      <alignment horizontal="left"/>
    </xf>
    <xf numFmtId="0" fontId="15" fillId="0" borderId="0" xfId="93" applyFill="1"/>
    <xf numFmtId="0" fontId="18" fillId="0" borderId="0" xfId="0" applyFont="1" applyFill="1" applyAlignment="1">
      <alignment horizontal="center"/>
    </xf>
    <xf numFmtId="0" fontId="18" fillId="0" borderId="0" xfId="0" applyFont="1" applyFill="1"/>
    <xf numFmtId="0" fontId="16" fillId="0" borderId="0" xfId="0" quotePrefix="1" applyFont="1" applyFill="1" applyAlignment="1">
      <alignment horizontal="center"/>
    </xf>
    <xf numFmtId="10" fontId="0" fillId="0" borderId="0" xfId="0" applyNumberFormat="1" applyFill="1"/>
    <xf numFmtId="15" fontId="15" fillId="34" borderId="0" xfId="0" quotePrefix="1" applyNumberFormat="1" applyFont="1" applyFill="1" applyAlignment="1">
      <alignment horizontal="center"/>
    </xf>
    <xf numFmtId="0" fontId="15" fillId="34" borderId="0" xfId="0" quotePrefix="1" applyFont="1" applyFill="1" applyAlignment="1">
      <alignment horizontal="center"/>
    </xf>
    <xf numFmtId="0" fontId="15" fillId="34" borderId="0" xfId="0" applyFont="1" applyFill="1"/>
    <xf numFmtId="10" fontId="15" fillId="34" borderId="0" xfId="0" quotePrefix="1" applyNumberFormat="1" applyFont="1" applyFill="1" applyAlignment="1">
      <alignment horizontal="right"/>
    </xf>
    <xf numFmtId="0" fontId="15" fillId="0" borderId="0" xfId="0" applyFont="1" applyFill="1" applyAlignment="1"/>
    <xf numFmtId="10" fontId="15" fillId="0" borderId="0" xfId="0" quotePrefix="1" applyNumberFormat="1" applyFont="1" applyFill="1" applyAlignment="1">
      <alignment horizontal="right"/>
    </xf>
    <xf numFmtId="0" fontId="15" fillId="0" borderId="0" xfId="0" quotePrefix="1" applyFont="1" applyFill="1" applyAlignment="1">
      <alignment horizontal="center"/>
    </xf>
    <xf numFmtId="0" fontId="0" fillId="34" borderId="0" xfId="0" applyFill="1"/>
    <xf numFmtId="167" fontId="0" fillId="0" borderId="0" xfId="0" applyNumberFormat="1" applyFill="1"/>
    <xf numFmtId="167" fontId="38" fillId="0" borderId="0" xfId="0" applyNumberFormat="1" applyFont="1" applyFill="1"/>
    <xf numFmtId="167" fontId="15" fillId="0" borderId="0" xfId="0" applyNumberFormat="1" applyFont="1" applyFill="1"/>
    <xf numFmtId="0" fontId="15" fillId="0" borderId="0" xfId="0" applyFont="1" applyFill="1" applyAlignment="1">
      <alignment horizontal="center"/>
    </xf>
    <xf numFmtId="3" fontId="0" fillId="0" borderId="0" xfId="0" applyNumberFormat="1" applyFill="1" applyAlignment="1">
      <alignment horizontal="center"/>
    </xf>
    <xf numFmtId="0" fontId="15" fillId="0" borderId="0" xfId="93" applyNumberFormat="1" applyFont="1" applyFill="1" applyBorder="1" applyAlignment="1">
      <alignment horizontal="left"/>
    </xf>
    <xf numFmtId="1" fontId="15" fillId="0" borderId="0" xfId="93" applyNumberFormat="1" applyFont="1" applyFill="1" applyBorder="1" applyAlignment="1">
      <alignment horizontal="center"/>
    </xf>
    <xf numFmtId="0" fontId="18" fillId="0" borderId="0" xfId="93" applyFont="1" applyFill="1" applyBorder="1" applyAlignment="1">
      <alignment horizontal="center"/>
    </xf>
    <xf numFmtId="164" fontId="0" fillId="0" borderId="0" xfId="0" applyNumberFormat="1"/>
    <xf numFmtId="3" fontId="0" fillId="0" borderId="0" xfId="0" applyNumberFormat="1" applyAlignment="1">
      <alignment horizontal="center"/>
    </xf>
    <xf numFmtId="0" fontId="15" fillId="0" borderId="0" xfId="93" applyNumberFormat="1" applyFont="1" applyFill="1" applyBorder="1" applyAlignment="1">
      <alignment horizontal="right"/>
    </xf>
    <xf numFmtId="0" fontId="15" fillId="0" borderId="0" xfId="0" applyFont="1"/>
    <xf numFmtId="0" fontId="15" fillId="0" borderId="0" xfId="0" applyFont="1" applyAlignment="1">
      <alignment horizontal="right"/>
    </xf>
    <xf numFmtId="164" fontId="38" fillId="0" borderId="0" xfId="0" applyNumberFormat="1" applyFont="1"/>
    <xf numFmtId="0" fontId="16" fillId="0" borderId="0" xfId="0" quotePrefix="1" applyFont="1" applyAlignment="1">
      <alignment horizontal="center"/>
    </xf>
    <xf numFmtId="0" fontId="18" fillId="0" borderId="0" xfId="93" applyFont="1" applyBorder="1" applyAlignment="1">
      <alignment horizontal="center"/>
    </xf>
    <xf numFmtId="0" fontId="18" fillId="0" borderId="0" xfId="0" quotePrefix="1" applyFont="1" applyAlignment="1">
      <alignment horizontal="center"/>
    </xf>
    <xf numFmtId="0" fontId="15" fillId="0" borderId="0" xfId="93" applyFont="1" applyBorder="1" applyAlignment="1">
      <alignment horizontal="left"/>
    </xf>
    <xf numFmtId="170" fontId="0" fillId="0" borderId="0" xfId="0" applyNumberFormat="1" applyFill="1"/>
    <xf numFmtId="170" fontId="0" fillId="0" borderId="0" xfId="0" applyNumberFormat="1"/>
    <xf numFmtId="1" fontId="15" fillId="0" borderId="0" xfId="93" applyNumberFormat="1" applyFont="1" applyFill="1" applyBorder="1" applyAlignment="1">
      <alignment horizontal="right"/>
    </xf>
    <xf numFmtId="170" fontId="15" fillId="0" borderId="0" xfId="0" applyNumberFormat="1" applyFont="1" applyFill="1" applyAlignment="1">
      <alignment horizontal="left" indent="1"/>
    </xf>
    <xf numFmtId="0" fontId="0" fillId="0" borderId="0" xfId="0" applyAlignment="1">
      <alignment horizontal="right"/>
    </xf>
    <xf numFmtId="170" fontId="15" fillId="0" borderId="0" xfId="0" applyNumberFormat="1" applyFont="1" applyAlignment="1">
      <alignment horizontal="left" indent="1"/>
    </xf>
    <xf numFmtId="167" fontId="39" fillId="0" borderId="0" xfId="0" applyNumberFormat="1" applyFont="1"/>
    <xf numFmtId="167" fontId="0" fillId="0" borderId="0" xfId="0" applyNumberFormat="1"/>
    <xf numFmtId="167" fontId="40" fillId="0" borderId="0" xfId="0" applyNumberFormat="1" applyFont="1"/>
    <xf numFmtId="167" fontId="38" fillId="0" borderId="0" xfId="0" applyNumberFormat="1" applyFont="1"/>
    <xf numFmtId="0" fontId="33" fillId="0" borderId="0" xfId="0" applyFont="1" applyFill="1"/>
    <xf numFmtId="0" fontId="32" fillId="0" borderId="0" xfId="0" applyFont="1" applyFill="1"/>
    <xf numFmtId="0" fontId="32" fillId="34" borderId="0" xfId="0" applyFont="1" applyFill="1"/>
    <xf numFmtId="0" fontId="32" fillId="0" borderId="0" xfId="0" applyFont="1"/>
    <xf numFmtId="0" fontId="16" fillId="0" borderId="0" xfId="93" applyFont="1"/>
    <xf numFmtId="0" fontId="15" fillId="0" borderId="0" xfId="93" applyFont="1"/>
    <xf numFmtId="0" fontId="16" fillId="0" borderId="0" xfId="93" applyFont="1" applyAlignment="1">
      <alignment horizontal="left" indent="1"/>
    </xf>
    <xf numFmtId="0" fontId="41" fillId="0" borderId="0" xfId="0" applyFont="1"/>
    <xf numFmtId="0" fontId="42" fillId="0" borderId="0" xfId="0" applyFont="1" applyFill="1"/>
    <xf numFmtId="0" fontId="42" fillId="0" borderId="0" xfId="0" applyFont="1" applyAlignment="1">
      <alignment horizontal="center"/>
    </xf>
    <xf numFmtId="0" fontId="43" fillId="0" borderId="0" xfId="0" applyFont="1" applyAlignment="1">
      <alignment horizontal="center"/>
    </xf>
    <xf numFmtId="164" fontId="15" fillId="0" borderId="0" xfId="0" applyNumberFormat="1" applyFont="1" applyFill="1"/>
    <xf numFmtId="37" fontId="32" fillId="0" borderId="0" xfId="0" applyNumberFormat="1" applyFont="1" applyFill="1"/>
    <xf numFmtId="164" fontId="15" fillId="0" borderId="8" xfId="0" applyNumberFormat="1" applyFont="1" applyFill="1" applyBorder="1"/>
    <xf numFmtId="37" fontId="15" fillId="0" borderId="0" xfId="0" applyNumberFormat="1" applyFont="1" applyFill="1" applyAlignment="1">
      <alignment horizontal="left" indent="1"/>
    </xf>
    <xf numFmtId="167" fontId="32" fillId="0" borderId="0" xfId="0" applyNumberFormat="1" applyFont="1" applyFill="1"/>
    <xf numFmtId="0" fontId="32" fillId="0" borderId="0" xfId="0" applyFont="1" applyAlignment="1">
      <alignment horizontal="left" indent="1"/>
    </xf>
    <xf numFmtId="167" fontId="32" fillId="0" borderId="0" xfId="0" applyNumberFormat="1" applyFont="1" applyFill="1" applyAlignment="1">
      <alignment horizontal="left" indent="1"/>
    </xf>
    <xf numFmtId="164" fontId="42" fillId="0" borderId="0" xfId="0" applyNumberFormat="1" applyFont="1" applyFill="1"/>
    <xf numFmtId="164" fontId="15" fillId="34" borderId="0" xfId="0" applyNumberFormat="1" applyFont="1" applyFill="1"/>
    <xf numFmtId="0" fontId="32" fillId="0" borderId="0" xfId="0" applyFont="1" applyFill="1" applyAlignment="1">
      <alignment horizontal="left" indent="1"/>
    </xf>
    <xf numFmtId="0" fontId="44" fillId="0" borderId="0" xfId="93" applyFont="1" applyBorder="1" applyAlignment="1">
      <alignment horizontal="left"/>
    </xf>
    <xf numFmtId="0" fontId="16" fillId="0" borderId="0" xfId="93" applyFont="1" applyBorder="1" applyAlignment="1">
      <alignment horizontal="center"/>
    </xf>
    <xf numFmtId="0" fontId="15" fillId="0" borderId="0" xfId="93" applyFont="1" applyBorder="1" applyAlignment="1">
      <alignment horizontal="right"/>
    </xf>
    <xf numFmtId="164" fontId="15" fillId="0" borderId="0" xfId="93" applyNumberFormat="1" applyFont="1" applyFill="1" applyBorder="1" applyAlignment="1">
      <alignment horizontal="right"/>
    </xf>
    <xf numFmtId="0" fontId="16" fillId="0" borderId="0" xfId="93" applyFont="1" applyBorder="1" applyAlignment="1">
      <alignment horizontal="right"/>
    </xf>
    <xf numFmtId="0" fontId="32" fillId="0" borderId="0" xfId="0" quotePrefix="1" applyFont="1" applyFill="1" applyAlignment="1">
      <alignment horizontal="center"/>
    </xf>
    <xf numFmtId="0" fontId="16" fillId="0" borderId="8" xfId="93" applyFont="1" applyBorder="1" applyAlignment="1">
      <alignment horizontal="center"/>
    </xf>
    <xf numFmtId="0" fontId="16" fillId="34" borderId="0" xfId="0" applyFont="1" applyFill="1" applyAlignment="1">
      <alignment horizontal="center"/>
    </xf>
    <xf numFmtId="171" fontId="15" fillId="34" borderId="0" xfId="93" applyNumberFormat="1" applyFont="1" applyFill="1" applyAlignment="1">
      <alignment horizontal="center"/>
    </xf>
    <xf numFmtId="0" fontId="15" fillId="34" borderId="0" xfId="93" applyFont="1" applyFill="1"/>
    <xf numFmtId="164" fontId="15" fillId="34" borderId="0" xfId="93" applyNumberFormat="1" applyFont="1" applyFill="1"/>
    <xf numFmtId="164" fontId="32" fillId="34" borderId="0" xfId="118" applyNumberFormat="1" applyFont="1" applyFill="1"/>
    <xf numFmtId="164" fontId="32" fillId="34" borderId="0" xfId="0" applyNumberFormat="1" applyFont="1" applyFill="1"/>
    <xf numFmtId="0" fontId="32" fillId="34" borderId="0" xfId="118" applyFont="1" applyFill="1"/>
    <xf numFmtId="0" fontId="45" fillId="34" borderId="0" xfId="0" applyFont="1" applyFill="1"/>
    <xf numFmtId="164" fontId="32" fillId="34" borderId="33" xfId="118" applyNumberFormat="1" applyFont="1" applyFill="1" applyBorder="1"/>
    <xf numFmtId="164" fontId="32" fillId="34" borderId="34" xfId="118" applyNumberFormat="1" applyFont="1" applyFill="1" applyBorder="1"/>
    <xf numFmtId="164" fontId="32" fillId="34" borderId="35" xfId="0" applyNumberFormat="1" applyFont="1" applyFill="1" applyBorder="1"/>
    <xf numFmtId="164" fontId="32" fillId="34" borderId="36" xfId="0" applyNumberFormat="1" applyFont="1" applyFill="1" applyBorder="1"/>
    <xf numFmtId="171" fontId="15" fillId="0" borderId="0" xfId="93" applyNumberFormat="1" applyFont="1" applyFill="1" applyAlignment="1">
      <alignment horizontal="center"/>
    </xf>
    <xf numFmtId="0" fontId="15" fillId="0" borderId="0" xfId="93" applyFont="1" applyFill="1"/>
    <xf numFmtId="164" fontId="15" fillId="0" borderId="0" xfId="93" applyNumberFormat="1" applyFont="1" applyFill="1"/>
    <xf numFmtId="164" fontId="32" fillId="0" borderId="0" xfId="0" applyNumberFormat="1" applyFont="1" applyFill="1"/>
    <xf numFmtId="171" fontId="15" fillId="0" borderId="0" xfId="93" quotePrefix="1" applyNumberFormat="1" applyFont="1" applyFill="1" applyAlignment="1">
      <alignment horizontal="center"/>
    </xf>
    <xf numFmtId="164" fontId="15" fillId="0" borderId="0" xfId="93" applyNumberFormat="1" applyFont="1"/>
    <xf numFmtId="164" fontId="32" fillId="0" borderId="0" xfId="0" applyNumberFormat="1" applyFont="1"/>
    <xf numFmtId="164" fontId="15" fillId="0" borderId="0" xfId="89" applyNumberFormat="1" applyFont="1" applyBorder="1"/>
    <xf numFmtId="164" fontId="15" fillId="0" borderId="0" xfId="89" applyNumberFormat="1" applyFont="1"/>
    <xf numFmtId="171" fontId="15" fillId="34" borderId="0" xfId="93" quotePrefix="1" applyNumberFormat="1" applyFont="1" applyFill="1" applyAlignment="1">
      <alignment horizontal="center"/>
    </xf>
    <xf numFmtId="0" fontId="16" fillId="0" borderId="0" xfId="0" applyFont="1" applyFill="1" applyBorder="1" applyAlignment="1">
      <alignment horizontal="center"/>
    </xf>
    <xf numFmtId="39" fontId="32" fillId="0" borderId="0" xfId="0" applyNumberFormat="1" applyFont="1" applyAlignment="1">
      <alignment horizontal="left" indent="1"/>
    </xf>
    <xf numFmtId="168" fontId="15" fillId="0" borderId="8" xfId="89" applyNumberFormat="1" applyFont="1" applyFill="1" applyBorder="1"/>
    <xf numFmtId="39" fontId="15" fillId="0" borderId="0" xfId="0" applyNumberFormat="1" applyFont="1" applyFill="1" applyAlignment="1">
      <alignment horizontal="left" indent="1"/>
    </xf>
    <xf numFmtId="164" fontId="15" fillId="0" borderId="39" xfId="89" applyNumberFormat="1" applyFont="1" applyBorder="1"/>
    <xf numFmtId="164" fontId="15" fillId="0" borderId="0" xfId="89" applyNumberFormat="1" applyFont="1" applyFill="1" applyBorder="1"/>
    <xf numFmtId="0" fontId="15" fillId="0" borderId="0" xfId="93" quotePrefix="1" applyFont="1" applyAlignment="1">
      <alignment horizontal="left" indent="1"/>
    </xf>
    <xf numFmtId="164" fontId="15" fillId="34" borderId="0" xfId="89" applyNumberFormat="1" applyFont="1" applyFill="1" applyBorder="1"/>
    <xf numFmtId="164" fontId="15" fillId="0" borderId="0" xfId="89" applyNumberFormat="1" applyFont="1" applyBorder="1" applyAlignment="1">
      <alignment horizontal="left" indent="1"/>
    </xf>
    <xf numFmtId="39" fontId="15" fillId="0" borderId="0" xfId="89" applyNumberFormat="1" applyFont="1" applyBorder="1"/>
    <xf numFmtId="39" fontId="32" fillId="0" borderId="0" xfId="0" applyNumberFormat="1" applyFont="1"/>
    <xf numFmtId="37" fontId="15" fillId="0" borderId="0" xfId="89" applyNumberFormat="1" applyFont="1" applyBorder="1" applyAlignment="1">
      <alignment horizontal="center"/>
    </xf>
    <xf numFmtId="171" fontId="15" fillId="34" borderId="0" xfId="118" quotePrefix="1" applyNumberFormat="1" applyFont="1" applyFill="1" applyAlignment="1">
      <alignment horizontal="center"/>
    </xf>
    <xf numFmtId="0" fontId="15" fillId="34" borderId="0" xfId="118" applyFont="1" applyFill="1"/>
    <xf numFmtId="164" fontId="32" fillId="34" borderId="0" xfId="89" applyNumberFormat="1" applyFont="1" applyFill="1" applyBorder="1"/>
    <xf numFmtId="0" fontId="15" fillId="34" borderId="0" xfId="118" applyFont="1" applyFill="1" applyBorder="1" applyProtection="1"/>
    <xf numFmtId="171" fontId="15" fillId="34" borderId="0" xfId="118" applyNumberFormat="1" applyFont="1" applyFill="1" applyAlignment="1">
      <alignment horizontal="center"/>
    </xf>
    <xf numFmtId="0" fontId="15" fillId="0" borderId="0" xfId="0" applyFont="1" applyAlignment="1">
      <alignment horizontal="center"/>
    </xf>
    <xf numFmtId="0" fontId="15" fillId="0" borderId="0" xfId="93" applyFont="1" applyBorder="1"/>
    <xf numFmtId="164" fontId="16" fillId="0" borderId="0" xfId="93" applyNumberFormat="1" applyFont="1" applyBorder="1" applyAlignment="1">
      <alignment horizontal="center"/>
    </xf>
    <xf numFmtId="164" fontId="16" fillId="0" borderId="8" xfId="93" applyNumberFormat="1" applyFont="1" applyBorder="1" applyAlignment="1">
      <alignment horizontal="center"/>
    </xf>
    <xf numFmtId="171" fontId="15" fillId="34" borderId="0" xfId="118" applyNumberFormat="1" applyFont="1" applyFill="1" applyBorder="1" applyAlignment="1" applyProtection="1">
      <alignment horizontal="center"/>
    </xf>
    <xf numFmtId="164" fontId="32" fillId="34" borderId="0" xfId="118" applyNumberFormat="1" applyFont="1" applyFill="1" applyBorder="1" applyProtection="1"/>
    <xf numFmtId="171" fontId="15" fillId="0" borderId="0" xfId="0" applyNumberFormat="1" applyFont="1" applyFill="1" applyBorder="1" applyAlignment="1" applyProtection="1">
      <alignment horizontal="center"/>
    </xf>
    <xf numFmtId="0" fontId="15" fillId="0" borderId="0" xfId="0" applyFont="1" applyFill="1" applyBorder="1" applyProtection="1"/>
    <xf numFmtId="164" fontId="15" fillId="0" borderId="0" xfId="0" applyNumberFormat="1" applyFont="1" applyFill="1" applyBorder="1" applyProtection="1"/>
    <xf numFmtId="171" fontId="15" fillId="34" borderId="0" xfId="0" applyNumberFormat="1" applyFont="1" applyFill="1" applyBorder="1" applyAlignment="1" applyProtection="1">
      <alignment horizontal="center"/>
    </xf>
    <xf numFmtId="0" fontId="15" fillId="34" borderId="0" xfId="0" applyFont="1" applyFill="1" applyBorder="1" applyProtection="1"/>
    <xf numFmtId="164" fontId="15" fillId="34" borderId="0" xfId="0" applyNumberFormat="1" applyFont="1" applyFill="1" applyBorder="1" applyProtection="1"/>
    <xf numFmtId="0" fontId="15" fillId="0" borderId="0" xfId="0" quotePrefix="1" applyFont="1" applyFill="1" applyBorder="1"/>
    <xf numFmtId="164" fontId="15" fillId="34" borderId="0" xfId="118" applyNumberFormat="1" applyFont="1" applyFill="1" applyBorder="1" applyProtection="1"/>
    <xf numFmtId="171" fontId="15" fillId="34" borderId="0" xfId="0" quotePrefix="1" applyNumberFormat="1" applyFont="1" applyFill="1" applyBorder="1" applyAlignment="1" applyProtection="1">
      <alignment horizontal="center"/>
    </xf>
    <xf numFmtId="164" fontId="15" fillId="0" borderId="8" xfId="89" applyNumberFormat="1" applyFont="1" applyBorder="1"/>
    <xf numFmtId="0" fontId="47" fillId="0" borderId="0" xfId="0" applyFont="1"/>
    <xf numFmtId="0" fontId="15" fillId="0" borderId="0" xfId="0" applyFont="1" applyAlignment="1">
      <alignment horizontal="left" indent="1"/>
    </xf>
    <xf numFmtId="0" fontId="16" fillId="0" borderId="8" xfId="0" applyFont="1" applyBorder="1"/>
    <xf numFmtId="0" fontId="47" fillId="0" borderId="0" xfId="0" applyFont="1" applyFill="1" applyAlignment="1">
      <alignment horizontal="center"/>
    </xf>
    <xf numFmtId="0" fontId="15" fillId="0" borderId="8" xfId="0" applyFont="1" applyBorder="1"/>
    <xf numFmtId="0" fontId="15" fillId="0" borderId="0" xfId="0" applyFont="1" applyBorder="1"/>
    <xf numFmtId="0" fontId="15" fillId="0" borderId="0" xfId="93" quotePrefix="1" applyFont="1"/>
    <xf numFmtId="10" fontId="15" fillId="0" borderId="0" xfId="89" applyNumberFormat="1" applyFont="1" applyBorder="1"/>
    <xf numFmtId="39" fontId="15" fillId="0" borderId="0" xfId="0" applyNumberFormat="1" applyFont="1" applyAlignment="1">
      <alignment horizontal="left" indent="1"/>
    </xf>
    <xf numFmtId="0" fontId="15" fillId="0" borderId="0" xfId="0" applyFont="1" applyAlignment="1"/>
    <xf numFmtId="0" fontId="47" fillId="0" borderId="0" xfId="0" applyFont="1" applyFill="1" applyBorder="1"/>
    <xf numFmtId="0" fontId="41" fillId="0" borderId="0" xfId="0" applyFont="1" applyFill="1"/>
    <xf numFmtId="0" fontId="15" fillId="0" borderId="0" xfId="0" applyFont="1" applyFill="1" applyBorder="1" applyAlignment="1">
      <alignment horizontal="left" indent="1"/>
    </xf>
    <xf numFmtId="0" fontId="48" fillId="0" borderId="0" xfId="0" applyFont="1" applyFill="1"/>
    <xf numFmtId="164" fontId="48" fillId="38" borderId="0" xfId="0" applyNumberFormat="1" applyFont="1" applyFill="1"/>
    <xf numFmtId="3" fontId="41" fillId="0" borderId="0" xfId="0" applyNumberFormat="1" applyFont="1"/>
    <xf numFmtId="0" fontId="48" fillId="0" borderId="0" xfId="0" applyFont="1" applyFill="1" applyAlignment="1">
      <alignment horizontal="left" indent="1"/>
    </xf>
    <xf numFmtId="164" fontId="48" fillId="34" borderId="0" xfId="0" applyNumberFormat="1" applyFont="1" applyFill="1"/>
    <xf numFmtId="164" fontId="49" fillId="34" borderId="0" xfId="0" applyNumberFormat="1" applyFont="1" applyFill="1"/>
    <xf numFmtId="164" fontId="48" fillId="0" borderId="0" xfId="0" applyNumberFormat="1" applyFont="1" applyFill="1"/>
    <xf numFmtId="0" fontId="15" fillId="0" borderId="0" xfId="0" quotePrefix="1" applyFont="1" applyFill="1"/>
    <xf numFmtId="0" fontId="32" fillId="0" borderId="0" xfId="0" applyFont="1" applyFill="1" applyAlignment="1">
      <alignment horizontal="left"/>
    </xf>
    <xf numFmtId="0" fontId="47" fillId="0" borderId="0" xfId="0" applyFont="1" applyFill="1"/>
    <xf numFmtId="0" fontId="50" fillId="0" borderId="0" xfId="0" applyFont="1"/>
    <xf numFmtId="0" fontId="0" fillId="0" borderId="0" xfId="0" applyNumberFormat="1" applyFill="1"/>
    <xf numFmtId="0" fontId="15" fillId="0" borderId="0" xfId="0" applyNumberFormat="1" applyFont="1" applyFill="1" applyAlignment="1">
      <alignment horizontal="left" indent="1"/>
    </xf>
    <xf numFmtId="0" fontId="15" fillId="0" borderId="0" xfId="0" applyNumberFormat="1" applyFont="1" applyFill="1"/>
    <xf numFmtId="0" fontId="16" fillId="0" borderId="0" xfId="0" applyNumberFormat="1" applyFont="1" applyFill="1"/>
    <xf numFmtId="0" fontId="15" fillId="0" borderId="0" xfId="0" quotePrefix="1" applyNumberFormat="1" applyFont="1" applyFill="1" applyAlignment="1">
      <alignment horizontal="center"/>
    </xf>
    <xf numFmtId="0" fontId="15" fillId="0" borderId="0" xfId="0" applyNumberFormat="1" applyFont="1" applyFill="1" applyAlignment="1">
      <alignment horizontal="right"/>
    </xf>
    <xf numFmtId="0" fontId="15" fillId="0" borderId="0" xfId="93" quotePrefix="1" applyNumberFormat="1" applyFont="1" applyFill="1" applyBorder="1" applyAlignment="1">
      <alignment horizontal="right"/>
    </xf>
    <xf numFmtId="0" fontId="16" fillId="0" borderId="0" xfId="0" applyNumberFormat="1" applyFont="1" applyFill="1" applyAlignment="1">
      <alignment horizontal="center"/>
    </xf>
    <xf numFmtId="0" fontId="38" fillId="0" borderId="0" xfId="0" applyNumberFormat="1" applyFont="1" applyFill="1"/>
    <xf numFmtId="0" fontId="15" fillId="0" borderId="0" xfId="93" applyNumberFormat="1" applyFont="1" applyFill="1" applyBorder="1" applyAlignment="1">
      <alignment horizontal="center"/>
    </xf>
    <xf numFmtId="164" fontId="16" fillId="0" borderId="0" xfId="0" applyNumberFormat="1" applyFont="1"/>
    <xf numFmtId="164" fontId="16" fillId="0" borderId="0" xfId="0" applyNumberFormat="1" applyFont="1" applyFill="1" applyAlignment="1">
      <alignment horizontal="right" indent="1"/>
    </xf>
    <xf numFmtId="164" fontId="38" fillId="0" borderId="0" xfId="0" applyNumberFormat="1" applyFont="1" applyFill="1"/>
    <xf numFmtId="164" fontId="0" fillId="34" borderId="0" xfId="0" applyNumberFormat="1" applyFill="1"/>
    <xf numFmtId="1" fontId="15" fillId="34" borderId="0" xfId="93" applyNumberFormat="1" applyFont="1" applyFill="1" applyBorder="1" applyAlignment="1">
      <alignment horizontal="center"/>
    </xf>
    <xf numFmtId="0" fontId="18" fillId="0" borderId="0" xfId="0" applyNumberFormat="1" applyFont="1" applyFill="1" applyAlignment="1">
      <alignment horizontal="center"/>
    </xf>
    <xf numFmtId="0" fontId="15" fillId="0" borderId="0" xfId="0" quotePrefix="1" applyNumberFormat="1" applyFont="1" applyFill="1" applyAlignment="1">
      <alignment horizontal="center" wrapText="1"/>
    </xf>
    <xf numFmtId="0" fontId="18" fillId="0" borderId="0" xfId="0" quotePrefix="1" applyNumberFormat="1" applyFont="1" applyFill="1" applyAlignment="1">
      <alignment horizontal="center"/>
    </xf>
    <xf numFmtId="0" fontId="15" fillId="0" borderId="0" xfId="0" quotePrefix="1" applyFont="1" applyAlignment="1">
      <alignment horizontal="center"/>
    </xf>
    <xf numFmtId="0" fontId="0" fillId="0" borderId="0" xfId="0" applyNumberFormat="1" applyFill="1" applyAlignment="1">
      <alignment horizontal="left"/>
    </xf>
    <xf numFmtId="0" fontId="15" fillId="0" borderId="0" xfId="0" applyNumberFormat="1" applyFont="1" applyFill="1" applyAlignment="1"/>
    <xf numFmtId="0" fontId="16" fillId="0" borderId="0" xfId="0" applyNumberFormat="1" applyFont="1" applyFill="1" applyAlignment="1">
      <alignment horizontal="left" indent="2"/>
    </xf>
    <xf numFmtId="164" fontId="16" fillId="0" borderId="0" xfId="0" applyNumberFormat="1" applyFont="1" applyFill="1"/>
    <xf numFmtId="164" fontId="0" fillId="34" borderId="0" xfId="0" applyNumberFormat="1" applyFill="1" applyBorder="1"/>
    <xf numFmtId="164" fontId="16" fillId="37" borderId="0" xfId="0" applyNumberFormat="1" applyFont="1" applyFill="1"/>
    <xf numFmtId="164" fontId="38" fillId="37" borderId="0" xfId="0" applyNumberFormat="1" applyFont="1" applyFill="1"/>
    <xf numFmtId="164" fontId="15" fillId="37" borderId="0" xfId="0" applyNumberFormat="1" applyFont="1" applyFill="1"/>
    <xf numFmtId="164" fontId="0" fillId="37" borderId="0" xfId="0" applyNumberFormat="1" applyFill="1"/>
    <xf numFmtId="164" fontId="0" fillId="34" borderId="35" xfId="0" applyNumberFormat="1" applyFill="1" applyBorder="1"/>
    <xf numFmtId="164" fontId="0" fillId="34" borderId="32" xfId="0" applyNumberFormat="1" applyFill="1" applyBorder="1"/>
    <xf numFmtId="164" fontId="0" fillId="37" borderId="40" xfId="0" applyNumberFormat="1" applyFill="1" applyBorder="1"/>
    <xf numFmtId="164" fontId="0" fillId="34" borderId="31" xfId="0" applyNumberFormat="1" applyFill="1" applyBorder="1"/>
    <xf numFmtId="164" fontId="0" fillId="37" borderId="35" xfId="0" applyNumberFormat="1" applyFill="1" applyBorder="1"/>
    <xf numFmtId="164" fontId="0" fillId="34" borderId="40" xfId="0" applyNumberFormat="1" applyFill="1" applyBorder="1"/>
    <xf numFmtId="1" fontId="15" fillId="34" borderId="40" xfId="93" applyNumberFormat="1" applyFont="1" applyFill="1" applyBorder="1" applyAlignment="1">
      <alignment horizontal="center"/>
    </xf>
    <xf numFmtId="164" fontId="0" fillId="34" borderId="41" xfId="0" applyNumberFormat="1" applyFill="1" applyBorder="1"/>
    <xf numFmtId="164" fontId="0" fillId="34" borderId="42" xfId="0" applyNumberFormat="1" applyFill="1" applyBorder="1"/>
    <xf numFmtId="164" fontId="0" fillId="34" borderId="30" xfId="0" applyNumberFormat="1" applyFill="1" applyBorder="1"/>
    <xf numFmtId="164" fontId="0" fillId="34" borderId="33" xfId="0" applyNumberFormat="1" applyFill="1" applyBorder="1"/>
    <xf numFmtId="0" fontId="15" fillId="0" borderId="33" xfId="0" quotePrefix="1" applyNumberFormat="1" applyFont="1" applyFill="1" applyBorder="1" applyAlignment="1">
      <alignment horizontal="center"/>
    </xf>
    <xf numFmtId="0" fontId="0" fillId="0" borderId="0" xfId="0" applyBorder="1"/>
    <xf numFmtId="0" fontId="51" fillId="0" borderId="0" xfId="0" quotePrefix="1" applyNumberFormat="1" applyFont="1" applyFill="1" applyAlignment="1">
      <alignment horizontal="center"/>
    </xf>
    <xf numFmtId="0" fontId="16" fillId="0" borderId="0" xfId="93" applyFont="1" applyFill="1" applyBorder="1" applyAlignment="1">
      <alignment horizontal="left"/>
    </xf>
    <xf numFmtId="164" fontId="52" fillId="0" borderId="0" xfId="128" applyNumberFormat="1" applyFont="1" applyFill="1"/>
    <xf numFmtId="164" fontId="53" fillId="0" borderId="0" xfId="128" applyNumberFormat="1" applyFont="1" applyFill="1"/>
    <xf numFmtId="164" fontId="45" fillId="0" borderId="0" xfId="128" applyNumberFormat="1" applyFont="1" applyFill="1"/>
    <xf numFmtId="0" fontId="16" fillId="0" borderId="0" xfId="0" applyNumberFormat="1" applyFont="1" applyFill="1" applyAlignment="1">
      <alignment horizontal="center" wrapText="1"/>
    </xf>
    <xf numFmtId="0" fontId="51" fillId="0" borderId="0" xfId="0" applyFont="1" applyAlignment="1">
      <alignment horizontal="center"/>
    </xf>
    <xf numFmtId="0" fontId="51" fillId="0" borderId="0" xfId="0" applyFont="1" applyFill="1" applyAlignment="1">
      <alignment horizontal="center"/>
    </xf>
    <xf numFmtId="164" fontId="15" fillId="0" borderId="0" xfId="0" applyNumberFormat="1" applyFont="1" applyFill="1" applyAlignment="1">
      <alignment horizontal="center"/>
    </xf>
    <xf numFmtId="164" fontId="15" fillId="0" borderId="0" xfId="0" quotePrefix="1" applyNumberFormat="1" applyFont="1" applyFill="1" applyAlignment="1">
      <alignment horizontal="center"/>
    </xf>
    <xf numFmtId="164" fontId="15" fillId="0" borderId="0" xfId="0" applyNumberFormat="1" applyFont="1" applyFill="1" applyAlignment="1">
      <alignment horizontal="right"/>
    </xf>
    <xf numFmtId="1" fontId="15" fillId="0" borderId="0" xfId="93" quotePrefix="1" applyNumberFormat="1" applyFont="1" applyFill="1" applyBorder="1" applyAlignment="1">
      <alignment horizontal="right"/>
    </xf>
    <xf numFmtId="164" fontId="15" fillId="34" borderId="0" xfId="0" quotePrefix="1" applyNumberFormat="1" applyFont="1" applyFill="1" applyAlignment="1">
      <alignment horizontal="center"/>
    </xf>
    <xf numFmtId="164" fontId="38" fillId="34" borderId="0" xfId="0" applyNumberFormat="1" applyFont="1" applyFill="1" applyBorder="1"/>
    <xf numFmtId="164" fontId="38" fillId="34" borderId="0" xfId="0" applyNumberFormat="1" applyFont="1" applyFill="1"/>
    <xf numFmtId="164" fontId="18" fillId="34" borderId="0" xfId="0" applyNumberFormat="1" applyFont="1" applyFill="1" applyAlignment="1">
      <alignment horizontal="center"/>
    </xf>
    <xf numFmtId="164" fontId="18" fillId="0" borderId="0" xfId="0" applyNumberFormat="1" applyFont="1" applyFill="1" applyAlignment="1">
      <alignment horizontal="center"/>
    </xf>
    <xf numFmtId="164" fontId="16" fillId="0" borderId="0" xfId="0" applyNumberFormat="1" applyFont="1" applyFill="1" applyAlignment="1">
      <alignment horizontal="center"/>
    </xf>
    <xf numFmtId="164" fontId="15" fillId="37" borderId="43" xfId="0" applyNumberFormat="1" applyFont="1" applyFill="1" applyBorder="1" applyAlignment="1">
      <alignment horizontal="right"/>
    </xf>
    <xf numFmtId="164" fontId="15" fillId="37" borderId="0" xfId="0" applyNumberFormat="1" applyFont="1" applyFill="1" applyAlignment="1">
      <alignment horizontal="right"/>
    </xf>
    <xf numFmtId="164" fontId="38" fillId="34" borderId="35" xfId="0" applyNumberFormat="1" applyFont="1" applyFill="1" applyBorder="1"/>
    <xf numFmtId="164" fontId="38" fillId="34" borderId="40" xfId="0" applyNumberFormat="1" applyFont="1" applyFill="1" applyBorder="1" applyAlignment="1">
      <alignment horizontal="right"/>
    </xf>
    <xf numFmtId="164" fontId="15" fillId="34" borderId="40" xfId="0" applyNumberFormat="1" applyFont="1" applyFill="1" applyBorder="1" applyAlignment="1">
      <alignment horizontal="right"/>
    </xf>
    <xf numFmtId="164" fontId="15" fillId="34" borderId="0" xfId="0" applyNumberFormat="1" applyFont="1" applyFill="1" applyBorder="1" applyAlignment="1">
      <alignment horizontal="right"/>
    </xf>
    <xf numFmtId="0" fontId="0" fillId="0" borderId="0" xfId="0" applyAlignment="1">
      <alignment horizontal="center"/>
    </xf>
    <xf numFmtId="0" fontId="18" fillId="0" borderId="0" xfId="0" quotePrefix="1" applyFont="1" applyFill="1" applyAlignment="1">
      <alignment horizontal="center"/>
    </xf>
    <xf numFmtId="0" fontId="15" fillId="0" borderId="0" xfId="93"/>
    <xf numFmtId="0" fontId="15" fillId="34" borderId="0" xfId="93" applyFill="1"/>
    <xf numFmtId="0" fontId="18" fillId="0" borderId="0" xfId="93" quotePrefix="1" applyFont="1" applyAlignment="1">
      <alignment horizontal="center"/>
    </xf>
    <xf numFmtId="0" fontId="18" fillId="0" borderId="0" xfId="93" applyFont="1" applyAlignment="1">
      <alignment horizontal="center"/>
    </xf>
    <xf numFmtId="0" fontId="15" fillId="0" borderId="0" xfId="93" quotePrefix="1" applyFont="1" applyAlignment="1">
      <alignment horizontal="center"/>
    </xf>
    <xf numFmtId="0" fontId="15" fillId="0" borderId="0" xfId="93" applyAlignment="1">
      <alignment horizontal="center"/>
    </xf>
    <xf numFmtId="0" fontId="16" fillId="0" borderId="0" xfId="93" applyFont="1" applyAlignment="1">
      <alignment horizontal="center"/>
    </xf>
    <xf numFmtId="0" fontId="16" fillId="0" borderId="0" xfId="93" applyFont="1" applyFill="1" applyAlignment="1">
      <alignment horizontal="center"/>
    </xf>
    <xf numFmtId="0" fontId="18" fillId="0" borderId="0" xfId="93" applyFont="1"/>
    <xf numFmtId="0" fontId="18" fillId="0" borderId="0" xfId="93" applyFont="1" applyFill="1" applyAlignment="1">
      <alignment horizontal="center"/>
    </xf>
    <xf numFmtId="0" fontId="15" fillId="34" borderId="0" xfId="93" applyFill="1" applyAlignment="1">
      <alignment horizontal="center"/>
    </xf>
    <xf numFmtId="164" fontId="15" fillId="0" borderId="0" xfId="93" applyNumberFormat="1" applyFill="1"/>
    <xf numFmtId="164" fontId="15" fillId="0" borderId="0" xfId="93" applyNumberFormat="1"/>
    <xf numFmtId="164" fontId="15" fillId="0" borderId="0" xfId="93" applyNumberFormat="1" applyFont="1" applyFill="1" applyAlignment="1"/>
    <xf numFmtId="10" fontId="15" fillId="0" borderId="0" xfId="99" applyNumberFormat="1" applyFont="1" applyFill="1" applyAlignment="1"/>
    <xf numFmtId="165" fontId="15" fillId="0" borderId="0" xfId="93" applyNumberFormat="1"/>
    <xf numFmtId="10" fontId="0" fillId="0" borderId="0" xfId="99" applyNumberFormat="1" applyFont="1"/>
    <xf numFmtId="164" fontId="15" fillId="37" borderId="0" xfId="93" applyNumberFormat="1" applyFill="1"/>
    <xf numFmtId="164" fontId="15" fillId="37" borderId="0" xfId="93" applyNumberFormat="1" applyFont="1" applyFill="1"/>
    <xf numFmtId="164" fontId="38" fillId="37" borderId="0" xfId="93" applyNumberFormat="1" applyFont="1" applyFill="1"/>
    <xf numFmtId="164" fontId="38" fillId="0" borderId="0" xfId="93" applyNumberFormat="1" applyFont="1"/>
    <xf numFmtId="0" fontId="16" fillId="0" borderId="0" xfId="93" applyFont="1" applyAlignment="1">
      <alignment horizontal="right"/>
    </xf>
    <xf numFmtId="164" fontId="16" fillId="37" borderId="0" xfId="93" applyNumberFormat="1" applyFont="1" applyFill="1"/>
    <xf numFmtId="164" fontId="16" fillId="0" borderId="0" xfId="93" applyNumberFormat="1" applyFont="1"/>
    <xf numFmtId="170" fontId="16" fillId="0" borderId="0" xfId="93" applyNumberFormat="1" applyFont="1"/>
    <xf numFmtId="0" fontId="16" fillId="0" borderId="0" xfId="93" applyFont="1" applyFill="1"/>
    <xf numFmtId="10" fontId="18" fillId="0" borderId="0" xfId="99" applyNumberFormat="1" applyFont="1" applyAlignment="1">
      <alignment horizontal="center"/>
    </xf>
    <xf numFmtId="0" fontId="15" fillId="0" borderId="0" xfId="93" applyAlignment="1">
      <alignment horizontal="center" wrapText="1"/>
    </xf>
    <xf numFmtId="164" fontId="15" fillId="0" borderId="0" xfId="93" quotePrefix="1" applyNumberFormat="1" applyAlignment="1">
      <alignment horizontal="center"/>
    </xf>
    <xf numFmtId="0" fontId="15" fillId="0" borderId="0" xfId="93" quotePrefix="1" applyAlignment="1">
      <alignment horizontal="center" wrapText="1"/>
    </xf>
    <xf numFmtId="0" fontId="15" fillId="0" borderId="0" xfId="93" quotePrefix="1" applyFont="1" applyAlignment="1">
      <alignment horizontal="center" wrapText="1"/>
    </xf>
    <xf numFmtId="10" fontId="15" fillId="0" borderId="0" xfId="99" quotePrefix="1" applyNumberFormat="1" applyFont="1" applyAlignment="1">
      <alignment horizontal="center" wrapText="1"/>
    </xf>
    <xf numFmtId="10" fontId="0" fillId="0" borderId="0" xfId="99" applyNumberFormat="1" applyFont="1" applyAlignment="1">
      <alignment horizontal="center"/>
    </xf>
    <xf numFmtId="164" fontId="15" fillId="0" borderId="0" xfId="93" applyNumberFormat="1" applyFont="1" applyFill="1" applyAlignment="1">
      <alignment horizontal="right"/>
    </xf>
    <xf numFmtId="5" fontId="15" fillId="0" borderId="0" xfId="89" applyNumberFormat="1" applyFont="1" applyFill="1" applyAlignment="1"/>
    <xf numFmtId="5" fontId="0" fillId="0" borderId="0" xfId="89" applyNumberFormat="1" applyFont="1" applyFill="1"/>
    <xf numFmtId="5" fontId="0" fillId="34" borderId="0" xfId="89" applyNumberFormat="1" applyFont="1" applyFill="1"/>
    <xf numFmtId="165" fontId="0" fillId="0" borderId="0" xfId="89" applyNumberFormat="1" applyFont="1"/>
    <xf numFmtId="164" fontId="15" fillId="37" borderId="0" xfId="93" applyNumberFormat="1" applyFont="1" applyFill="1" applyAlignment="1">
      <alignment horizontal="right"/>
    </xf>
    <xf numFmtId="0" fontId="15" fillId="0" borderId="0" xfId="93" applyFont="1" applyAlignment="1">
      <alignment horizontal="right" indent="1"/>
    </xf>
    <xf numFmtId="172" fontId="15" fillId="0" borderId="0" xfId="91" applyNumberFormat="1" applyFont="1"/>
    <xf numFmtId="0" fontId="15" fillId="0" borderId="0" xfId="93" quotePrefix="1" applyFont="1" applyFill="1" applyAlignment="1">
      <alignment horizontal="center"/>
    </xf>
    <xf numFmtId="10" fontId="15" fillId="0" borderId="0" xfId="93" applyNumberFormat="1"/>
    <xf numFmtId="164" fontId="15" fillId="34" borderId="0" xfId="93" applyNumberFormat="1" applyFont="1" applyFill="1" applyAlignment="1">
      <alignment horizontal="right"/>
    </xf>
    <xf numFmtId="0" fontId="38" fillId="0" borderId="0" xfId="93" applyFont="1" applyAlignment="1">
      <alignment horizontal="center"/>
    </xf>
    <xf numFmtId="0" fontId="15" fillId="0" borderId="0" xfId="93" applyAlignment="1">
      <alignment horizontal="left" indent="1"/>
    </xf>
    <xf numFmtId="0" fontId="15" fillId="0" borderId="0" xfId="93" applyFont="1" applyAlignment="1">
      <alignment horizontal="left" indent="1"/>
    </xf>
    <xf numFmtId="0" fontId="15" fillId="0" borderId="0" xfId="93" applyFont="1" applyAlignment="1">
      <alignment horizontal="left"/>
    </xf>
    <xf numFmtId="10" fontId="18" fillId="0" borderId="0" xfId="93" applyNumberFormat="1" applyFont="1" applyAlignment="1">
      <alignment horizontal="center"/>
    </xf>
    <xf numFmtId="0" fontId="15" fillId="0" borderId="0" xfId="93" applyNumberFormat="1" applyFont="1" applyFill="1" applyAlignment="1">
      <alignment horizontal="center"/>
    </xf>
    <xf numFmtId="5" fontId="15" fillId="0" borderId="0" xfId="89" applyNumberFormat="1"/>
    <xf numFmtId="10" fontId="15" fillId="0" borderId="0" xfId="99" applyNumberFormat="1" applyFont="1" applyFill="1" applyAlignment="1">
      <alignment horizontal="center"/>
    </xf>
    <xf numFmtId="5" fontId="15" fillId="0" borderId="0" xfId="93" applyNumberFormat="1" applyFill="1"/>
    <xf numFmtId="0" fontId="15" fillId="0" borderId="0" xfId="93" quotePrefix="1" applyFill="1"/>
    <xf numFmtId="0" fontId="15" fillId="0" borderId="0" xfId="93" applyNumberFormat="1"/>
    <xf numFmtId="5" fontId="15" fillId="0" borderId="0" xfId="93" applyNumberFormat="1"/>
    <xf numFmtId="5" fontId="15" fillId="0" borderId="0" xfId="93" applyNumberFormat="1" applyFont="1"/>
    <xf numFmtId="10" fontId="15" fillId="0" borderId="0" xfId="99" applyNumberFormat="1" applyAlignment="1">
      <alignment horizontal="center"/>
    </xf>
    <xf numFmtId="0" fontId="0" fillId="0" borderId="0" xfId="0" applyFill="1" applyBorder="1" applyAlignment="1">
      <alignment horizontal="left" indent="1"/>
    </xf>
    <xf numFmtId="168" fontId="0" fillId="0" borderId="0" xfId="0" applyNumberFormat="1" applyFill="1"/>
    <xf numFmtId="0" fontId="33" fillId="0" borderId="0" xfId="0" applyFont="1"/>
    <xf numFmtId="0" fontId="32" fillId="0" borderId="0" xfId="0" applyFont="1" applyFill="1" applyAlignment="1">
      <alignment horizontal="right"/>
    </xf>
    <xf numFmtId="0" fontId="33" fillId="34" borderId="0" xfId="0" quotePrefix="1" applyFont="1" applyFill="1" applyAlignment="1">
      <alignment horizontal="center"/>
    </xf>
    <xf numFmtId="0" fontId="33" fillId="0" borderId="0" xfId="0" applyFont="1" applyFill="1" applyAlignment="1">
      <alignment horizontal="center"/>
    </xf>
    <xf numFmtId="0" fontId="32" fillId="0" borderId="0" xfId="0" applyFont="1" applyAlignment="1">
      <alignment horizontal="center"/>
    </xf>
    <xf numFmtId="17" fontId="15" fillId="34" borderId="0" xfId="93" quotePrefix="1" applyNumberFormat="1" applyFont="1" applyFill="1" applyBorder="1" applyAlignment="1">
      <alignment horizontal="left"/>
    </xf>
    <xf numFmtId="37" fontId="32" fillId="34" borderId="0" xfId="207" applyNumberFormat="1" applyFont="1" applyFill="1" applyAlignment="1">
      <alignment horizontal="right"/>
    </xf>
    <xf numFmtId="0" fontId="15" fillId="34" borderId="0" xfId="93" quotePrefix="1" applyFont="1" applyFill="1" applyBorder="1" applyAlignment="1">
      <alignment horizontal="left"/>
    </xf>
    <xf numFmtId="164" fontId="32" fillId="37" borderId="0" xfId="0" applyNumberFormat="1" applyFont="1" applyFill="1" applyAlignment="1">
      <alignment horizontal="right"/>
    </xf>
    <xf numFmtId="164" fontId="32" fillId="37" borderId="0" xfId="0" applyNumberFormat="1" applyFont="1" applyFill="1"/>
    <xf numFmtId="0" fontId="15" fillId="34" borderId="0" xfId="93" quotePrefix="1" applyNumberFormat="1" applyFont="1" applyFill="1" applyBorder="1" applyAlignment="1">
      <alignment horizontal="left"/>
    </xf>
    <xf numFmtId="164" fontId="32" fillId="0" borderId="0" xfId="0" applyNumberFormat="1" applyFont="1" applyFill="1" applyAlignment="1">
      <alignment horizontal="right"/>
    </xf>
    <xf numFmtId="164" fontId="32" fillId="37" borderId="33" xfId="0" applyNumberFormat="1" applyFont="1" applyFill="1" applyBorder="1"/>
    <xf numFmtId="164" fontId="32" fillId="37" borderId="33" xfId="0" applyNumberFormat="1" applyFont="1" applyFill="1" applyBorder="1" applyAlignment="1">
      <alignment horizontal="right"/>
    </xf>
    <xf numFmtId="0" fontId="15" fillId="34" borderId="40" xfId="93" quotePrefix="1" applyNumberFormat="1" applyFont="1" applyFill="1" applyBorder="1" applyAlignment="1">
      <alignment horizontal="left"/>
    </xf>
    <xf numFmtId="164" fontId="38" fillId="34" borderId="34" xfId="0" applyNumberFormat="1" applyFont="1" applyFill="1" applyBorder="1"/>
    <xf numFmtId="164" fontId="38" fillId="34" borderId="38" xfId="0" applyNumberFormat="1" applyFont="1" applyFill="1" applyBorder="1"/>
    <xf numFmtId="164" fontId="54" fillId="0" borderId="0" xfId="0" applyNumberFormat="1" applyFont="1" applyFill="1"/>
    <xf numFmtId="0" fontId="15" fillId="0" borderId="0" xfId="93" quotePrefix="1" applyNumberFormat="1" applyFont="1" applyFill="1" applyBorder="1" applyAlignment="1">
      <alignment horizontal="left"/>
    </xf>
    <xf numFmtId="164" fontId="54" fillId="34" borderId="0" xfId="0" applyNumberFormat="1" applyFont="1" applyFill="1"/>
    <xf numFmtId="164" fontId="54" fillId="0" borderId="0" xfId="0" applyNumberFormat="1" applyFont="1"/>
    <xf numFmtId="164" fontId="15" fillId="0" borderId="0" xfId="89" applyNumberFormat="1" applyFont="1" applyFill="1" applyBorder="1" applyAlignment="1">
      <alignment horizontal="right"/>
    </xf>
    <xf numFmtId="165" fontId="15" fillId="0" borderId="0" xfId="93" quotePrefix="1" applyNumberFormat="1" applyFont="1" applyFill="1" applyBorder="1" applyAlignment="1">
      <alignment horizontal="left" indent="1"/>
    </xf>
    <xf numFmtId="0" fontId="18" fillId="0" borderId="0" xfId="93" applyNumberFormat="1" applyFont="1" applyFill="1" applyBorder="1" applyAlignment="1">
      <alignment horizontal="left"/>
    </xf>
    <xf numFmtId="0" fontId="18" fillId="0" borderId="0" xfId="93" applyNumberFormat="1" applyFont="1" applyFill="1" applyBorder="1" applyAlignment="1">
      <alignment horizontal="center"/>
    </xf>
    <xf numFmtId="164" fontId="15" fillId="37" borderId="0" xfId="89" applyNumberFormat="1" applyFont="1" applyFill="1" applyBorder="1" applyAlignment="1">
      <alignment horizontal="right"/>
    </xf>
    <xf numFmtId="165" fontId="15" fillId="0" borderId="0" xfId="93" applyNumberFormat="1" applyFont="1" applyFill="1" applyBorder="1" applyAlignment="1">
      <alignment horizontal="left" indent="1"/>
    </xf>
    <xf numFmtId="0" fontId="15" fillId="0" borderId="0" xfId="93" applyFont="1" applyBorder="1" applyAlignment="1"/>
    <xf numFmtId="165" fontId="15" fillId="0" borderId="0" xfId="89" applyNumberFormat="1" applyFont="1" applyFill="1" applyBorder="1" applyAlignment="1">
      <alignment horizontal="right"/>
    </xf>
    <xf numFmtId="165" fontId="15" fillId="0" borderId="0" xfId="93" applyNumberFormat="1" applyFont="1" applyFill="1" applyBorder="1" applyAlignment="1">
      <alignment horizontal="right"/>
    </xf>
    <xf numFmtId="165" fontId="16" fillId="0" borderId="0" xfId="89" applyNumberFormat="1" applyFont="1" applyFill="1" applyBorder="1" applyAlignment="1">
      <alignment horizontal="center"/>
    </xf>
    <xf numFmtId="3" fontId="15" fillId="0" borderId="0" xfId="93" applyNumberFormat="1" applyFont="1" applyFill="1" applyBorder="1" applyAlignment="1">
      <alignment horizontal="left" indent="1"/>
    </xf>
    <xf numFmtId="3" fontId="15" fillId="0" borderId="0" xfId="93" applyNumberFormat="1" applyFont="1" applyFill="1" applyBorder="1" applyAlignment="1"/>
    <xf numFmtId="3" fontId="18" fillId="0" borderId="0" xfId="93" applyNumberFormat="1" applyFont="1" applyFill="1" applyBorder="1" applyAlignment="1">
      <alignment horizontal="center"/>
    </xf>
    <xf numFmtId="37" fontId="15" fillId="0" borderId="0" xfId="208" applyNumberFormat="1" applyFont="1" applyFill="1" applyAlignment="1">
      <alignment horizontal="left" indent="1"/>
    </xf>
    <xf numFmtId="167" fontId="38" fillId="0" borderId="0" xfId="89" applyNumberFormat="1" applyFont="1" applyFill="1" applyBorder="1" applyAlignment="1">
      <alignment horizontal="right"/>
    </xf>
    <xf numFmtId="0" fontId="32" fillId="0" borderId="0" xfId="0" applyFont="1" applyFill="1" applyAlignment="1">
      <alignment horizontal="center"/>
    </xf>
    <xf numFmtId="0" fontId="18" fillId="0" borderId="33" xfId="0" quotePrefix="1" applyFont="1" applyFill="1" applyBorder="1" applyAlignment="1">
      <alignment horizontal="center"/>
    </xf>
    <xf numFmtId="0" fontId="15" fillId="34" borderId="40" xfId="93" quotePrefix="1" applyFont="1" applyFill="1" applyBorder="1" applyAlignment="1">
      <alignment horizontal="left"/>
    </xf>
    <xf numFmtId="164" fontId="15" fillId="34" borderId="31" xfId="0" applyNumberFormat="1" applyFont="1" applyFill="1" applyBorder="1"/>
    <xf numFmtId="164" fontId="32" fillId="34" borderId="33" xfId="0" applyNumberFormat="1" applyFont="1" applyFill="1" applyBorder="1"/>
    <xf numFmtId="164" fontId="32" fillId="34" borderId="40" xfId="0" applyNumberFormat="1" applyFont="1" applyFill="1" applyBorder="1"/>
    <xf numFmtId="164" fontId="32" fillId="34" borderId="30" xfId="0" applyNumberFormat="1" applyFont="1" applyFill="1" applyBorder="1"/>
    <xf numFmtId="164" fontId="32" fillId="34" borderId="31" xfId="0" applyNumberFormat="1" applyFont="1" applyFill="1" applyBorder="1"/>
    <xf numFmtId="164" fontId="15" fillId="34" borderId="34" xfId="0" applyNumberFormat="1" applyFont="1" applyFill="1" applyBorder="1"/>
    <xf numFmtId="164" fontId="32" fillId="34" borderId="32" xfId="0" applyNumberFormat="1" applyFont="1" applyFill="1" applyBorder="1"/>
    <xf numFmtId="164" fontId="15" fillId="34" borderId="30" xfId="0" applyNumberFormat="1" applyFont="1" applyFill="1" applyBorder="1"/>
    <xf numFmtId="164" fontId="15" fillId="34" borderId="32" xfId="0" applyNumberFormat="1" applyFont="1" applyFill="1" applyBorder="1"/>
    <xf numFmtId="164" fontId="32" fillId="34" borderId="44" xfId="0" applyNumberFormat="1" applyFont="1" applyFill="1" applyBorder="1"/>
    <xf numFmtId="164" fontId="38" fillId="34" borderId="32" xfId="0" applyNumberFormat="1" applyFont="1" applyFill="1" applyBorder="1"/>
    <xf numFmtId="164" fontId="54" fillId="34" borderId="40" xfId="0" applyNumberFormat="1" applyFont="1" applyFill="1" applyBorder="1"/>
    <xf numFmtId="164" fontId="54" fillId="34" borderId="32" xfId="0" applyNumberFormat="1" applyFont="1" applyFill="1" applyBorder="1"/>
    <xf numFmtId="164" fontId="54" fillId="37" borderId="0" xfId="0" applyNumberFormat="1" applyFont="1" applyFill="1"/>
    <xf numFmtId="10" fontId="15" fillId="0" borderId="0" xfId="0" applyNumberFormat="1" applyFont="1" applyFill="1"/>
    <xf numFmtId="0" fontId="42" fillId="0" borderId="0" xfId="0" applyFont="1"/>
    <xf numFmtId="0" fontId="56" fillId="0" borderId="0" xfId="0" applyFont="1" applyFill="1" applyAlignment="1">
      <alignment horizontal="left" vertical="center"/>
    </xf>
    <xf numFmtId="0" fontId="15" fillId="34" borderId="0" xfId="209" applyFont="1" applyFill="1"/>
    <xf numFmtId="0" fontId="45" fillId="34" borderId="0" xfId="209" applyFont="1" applyFill="1"/>
    <xf numFmtId="0" fontId="32" fillId="0" borderId="0" xfId="0" quotePrefix="1" applyFont="1"/>
    <xf numFmtId="0" fontId="15" fillId="0" borderId="0" xfId="0" quotePrefix="1" applyFont="1" applyAlignment="1"/>
    <xf numFmtId="0" fontId="42" fillId="0" borderId="0" xfId="0" applyFont="1" applyFill="1" applyAlignment="1">
      <alignment horizontal="left" indent="1"/>
    </xf>
    <xf numFmtId="0" fontId="32" fillId="0" borderId="0" xfId="0" applyFont="1" applyAlignment="1">
      <alignment horizontal="right"/>
    </xf>
    <xf numFmtId="0" fontId="31" fillId="0" borderId="0" xfId="0" applyFont="1"/>
    <xf numFmtId="0" fontId="33" fillId="0" borderId="0" xfId="0" applyFont="1" applyAlignment="1">
      <alignment horizontal="center"/>
    </xf>
    <xf numFmtId="0" fontId="42" fillId="0" borderId="0" xfId="0" applyFont="1" applyFill="1" applyAlignment="1">
      <alignment horizontal="center"/>
    </xf>
    <xf numFmtId="164" fontId="0" fillId="34" borderId="0" xfId="0" applyNumberFormat="1" applyFill="1" applyAlignment="1">
      <alignment horizontal="right"/>
    </xf>
    <xf numFmtId="167" fontId="15" fillId="0" borderId="0" xfId="89" applyNumberFormat="1" applyFont="1" applyFill="1" applyBorder="1" applyAlignment="1">
      <alignment horizontal="right"/>
    </xf>
    <xf numFmtId="0" fontId="15" fillId="0" borderId="0" xfId="93" applyFont="1" applyFill="1" applyBorder="1" applyAlignment="1"/>
    <xf numFmtId="3" fontId="15" fillId="0" borderId="0" xfId="93" applyNumberFormat="1" applyFont="1" applyFill="1" applyBorder="1" applyAlignment="1">
      <alignment horizontal="left"/>
    </xf>
    <xf numFmtId="37" fontId="32" fillId="34" borderId="0" xfId="210" applyNumberFormat="1" applyFont="1" applyFill="1" applyAlignment="1">
      <alignment horizontal="right"/>
    </xf>
    <xf numFmtId="0" fontId="15" fillId="0" borderId="0" xfId="93" applyFont="1" applyFill="1" applyAlignment="1">
      <alignment horizontal="left" indent="1"/>
    </xf>
    <xf numFmtId="164" fontId="15" fillId="0" borderId="39" xfId="0" applyNumberFormat="1" applyFont="1" applyFill="1" applyBorder="1"/>
    <xf numFmtId="164" fontId="15" fillId="34" borderId="0" xfId="93" applyNumberFormat="1" applyFont="1" applyFill="1" applyBorder="1"/>
    <xf numFmtId="164" fontId="32" fillId="34" borderId="0" xfId="118" applyNumberFormat="1" applyFont="1" applyFill="1" applyBorder="1"/>
    <xf numFmtId="164" fontId="32" fillId="34" borderId="43" xfId="0" applyNumberFormat="1" applyFont="1" applyFill="1" applyBorder="1"/>
    <xf numFmtId="164" fontId="32" fillId="34" borderId="0" xfId="0" applyNumberFormat="1" applyFont="1" applyFill="1" applyBorder="1"/>
    <xf numFmtId="0" fontId="16" fillId="34" borderId="0" xfId="0" applyFont="1" applyFill="1" applyBorder="1" applyAlignment="1">
      <alignment horizontal="center"/>
    </xf>
    <xf numFmtId="171" fontId="15" fillId="34" borderId="0" xfId="93" applyNumberFormat="1" applyFont="1" applyFill="1" applyBorder="1" applyAlignment="1">
      <alignment horizontal="center"/>
    </xf>
    <xf numFmtId="0" fontId="15" fillId="34" borderId="0" xfId="93" applyFont="1" applyFill="1" applyBorder="1"/>
    <xf numFmtId="0" fontId="32" fillId="34" borderId="0" xfId="0" applyFont="1" applyFill="1" applyBorder="1"/>
    <xf numFmtId="168" fontId="15" fillId="0" borderId="0" xfId="89" applyNumberFormat="1" applyFont="1" applyBorder="1"/>
    <xf numFmtId="164" fontId="32" fillId="0" borderId="0" xfId="0" applyNumberFormat="1" applyFont="1" applyFill="1" applyBorder="1"/>
    <xf numFmtId="164" fontId="32" fillId="0" borderId="0" xfId="0" applyNumberFormat="1" applyFont="1" applyBorder="1"/>
    <xf numFmtId="0" fontId="18" fillId="0" borderId="0" xfId="0" quotePrefix="1" applyFont="1" applyBorder="1" applyAlignment="1">
      <alignment horizontal="center"/>
    </xf>
    <xf numFmtId="0" fontId="32" fillId="34" borderId="0" xfId="118" applyFont="1" applyFill="1" applyBorder="1"/>
    <xf numFmtId="164" fontId="15" fillId="0" borderId="39" xfId="89" applyNumberFormat="1" applyFont="1" applyFill="1" applyBorder="1"/>
    <xf numFmtId="164" fontId="15" fillId="34" borderId="0" xfId="0" applyNumberFormat="1" applyFont="1" applyFill="1" applyAlignment="1">
      <alignment horizontal="right"/>
    </xf>
    <xf numFmtId="164" fontId="38" fillId="34" borderId="0" xfId="0" applyNumberFormat="1" applyFont="1" applyFill="1" applyAlignment="1">
      <alignment horizontal="right"/>
    </xf>
    <xf numFmtId="164" fontId="15" fillId="0" borderId="0" xfId="0" applyNumberFormat="1" applyFont="1"/>
    <xf numFmtId="0" fontId="15" fillId="34" borderId="0" xfId="0" applyFont="1" applyFill="1" applyAlignment="1"/>
    <xf numFmtId="0" fontId="0" fillId="0" borderId="0" xfId="0" applyAlignment="1">
      <alignment horizontal="right" indent="1"/>
    </xf>
    <xf numFmtId="0" fontId="16" fillId="0" borderId="0" xfId="0" applyFont="1" applyAlignment="1">
      <alignment horizontal="left" indent="2"/>
    </xf>
    <xf numFmtId="0" fontId="16" fillId="0" borderId="0" xfId="0" applyFont="1" applyAlignment="1">
      <alignment horizontal="left" indent="3"/>
    </xf>
    <xf numFmtId="0" fontId="15" fillId="0" borderId="0" xfId="0" applyFont="1" applyFill="1" applyAlignment="1">
      <alignment horizontal="left" indent="2"/>
    </xf>
    <xf numFmtId="0" fontId="15" fillId="0" borderId="0" xfId="0" applyFont="1" applyAlignment="1">
      <alignment horizontal="left"/>
    </xf>
    <xf numFmtId="164" fontId="15" fillId="0" borderId="0" xfId="0" quotePrefix="1" applyNumberFormat="1" applyFont="1" applyAlignment="1">
      <alignment horizontal="center"/>
    </xf>
    <xf numFmtId="0" fontId="15" fillId="0" borderId="0" xfId="0" quotePrefix="1" applyFont="1" applyAlignment="1">
      <alignment horizontal="center" vertical="justify"/>
    </xf>
    <xf numFmtId="0" fontId="0" fillId="0" borderId="0" xfId="0" quotePrefix="1"/>
    <xf numFmtId="164" fontId="15" fillId="0" borderId="0" xfId="0" quotePrefix="1" applyNumberFormat="1" applyFont="1" applyFill="1" applyAlignment="1">
      <alignment horizontal="right"/>
    </xf>
    <xf numFmtId="164" fontId="15" fillId="37" borderId="0" xfId="0" quotePrefix="1" applyNumberFormat="1" applyFont="1" applyFill="1" applyAlignment="1">
      <alignment horizontal="right"/>
    </xf>
    <xf numFmtId="0" fontId="15" fillId="0" borderId="0" xfId="0" quotePrefix="1" applyFont="1" applyAlignment="1">
      <alignment horizontal="left" indent="1"/>
    </xf>
    <xf numFmtId="0" fontId="0" fillId="0" borderId="0" xfId="0" applyFill="1" applyAlignment="1">
      <alignment horizontal="center"/>
    </xf>
    <xf numFmtId="0" fontId="18" fillId="34" borderId="0" xfId="0" applyFont="1" applyFill="1" applyAlignment="1">
      <alignment horizontal="center"/>
    </xf>
    <xf numFmtId="0" fontId="15" fillId="34" borderId="0" xfId="93" applyFont="1" applyFill="1" applyBorder="1" applyAlignment="1">
      <alignment horizontal="center"/>
    </xf>
    <xf numFmtId="164" fontId="15" fillId="0" borderId="0" xfId="0" applyNumberFormat="1" applyFont="1" applyAlignment="1">
      <alignment horizontal="right"/>
    </xf>
    <xf numFmtId="164" fontId="0" fillId="0" borderId="0" xfId="0" applyNumberFormat="1" applyFill="1" applyAlignment="1">
      <alignment horizontal="right"/>
    </xf>
    <xf numFmtId="164" fontId="0" fillId="37" borderId="0" xfId="0" applyNumberFormat="1" applyFill="1" applyAlignment="1">
      <alignment horizontal="right"/>
    </xf>
    <xf numFmtId="164" fontId="38" fillId="37" borderId="0" xfId="0" applyNumberFormat="1" applyFont="1" applyFill="1" applyAlignment="1">
      <alignment horizontal="right"/>
    </xf>
    <xf numFmtId="164" fontId="38" fillId="0" borderId="0" xfId="0" applyNumberFormat="1" applyFont="1" applyFill="1" applyAlignment="1">
      <alignment horizontal="right"/>
    </xf>
    <xf numFmtId="0" fontId="16" fillId="0" borderId="0" xfId="93" applyFont="1" applyBorder="1" applyAlignment="1">
      <alignment horizontal="left"/>
    </xf>
    <xf numFmtId="164" fontId="16" fillId="0" borderId="0" xfId="0" applyNumberFormat="1" applyFont="1" applyFill="1" applyAlignment="1">
      <alignment horizontal="right"/>
    </xf>
    <xf numFmtId="164" fontId="15" fillId="0" borderId="0" xfId="0" applyNumberFormat="1" applyFont="1" applyFill="1" applyAlignment="1">
      <alignment horizontal="left" indent="1"/>
    </xf>
    <xf numFmtId="173" fontId="0" fillId="0" borderId="0" xfId="0" applyNumberFormat="1"/>
    <xf numFmtId="164" fontId="0" fillId="34" borderId="34" xfId="0" applyNumberFormat="1" applyFill="1" applyBorder="1"/>
    <xf numFmtId="164" fontId="0" fillId="34" borderId="38" xfId="0" applyNumberFormat="1" applyFill="1" applyBorder="1"/>
    <xf numFmtId="164" fontId="0" fillId="34" borderId="44" xfId="0" applyNumberFormat="1" applyFill="1" applyBorder="1"/>
    <xf numFmtId="0" fontId="16" fillId="34" borderId="0" xfId="0" applyFont="1" applyFill="1"/>
    <xf numFmtId="0" fontId="15" fillId="34" borderId="0" xfId="0" applyFont="1" applyFill="1" applyAlignment="1">
      <alignment horizontal="left" indent="1"/>
    </xf>
    <xf numFmtId="0" fontId="0" fillId="34" borderId="0" xfId="0" applyFill="1" applyAlignment="1">
      <alignment horizontal="right"/>
    </xf>
    <xf numFmtId="0" fontId="0" fillId="34" borderId="0" xfId="0" applyFill="1" applyAlignment="1">
      <alignment horizontal="left"/>
    </xf>
    <xf numFmtId="0" fontId="0" fillId="34" borderId="0" xfId="0" applyFill="1" applyAlignment="1">
      <alignment horizontal="left" indent="1"/>
    </xf>
    <xf numFmtId="10" fontId="0" fillId="34" borderId="0" xfId="0" applyNumberFormat="1" applyFill="1" applyAlignment="1">
      <alignment horizontal="right"/>
    </xf>
    <xf numFmtId="10" fontId="0" fillId="34" borderId="0" xfId="0" applyNumberFormat="1" applyFill="1" applyAlignment="1">
      <alignment horizontal="left"/>
    </xf>
    <xf numFmtId="0" fontId="0" fillId="34" borderId="0" xfId="0" quotePrefix="1" applyFill="1" applyAlignment="1">
      <alignment horizontal="center"/>
    </xf>
    <xf numFmtId="0" fontId="0" fillId="34" borderId="0" xfId="0" applyFill="1" applyAlignment="1"/>
    <xf numFmtId="0" fontId="15" fillId="34" borderId="0" xfId="0" applyFont="1" applyFill="1" applyAlignment="1">
      <alignment horizontal="left"/>
    </xf>
    <xf numFmtId="0" fontId="15" fillId="34" borderId="0" xfId="0" applyFont="1" applyFill="1" applyAlignment="1">
      <alignment horizontal="left" vertical="center"/>
    </xf>
    <xf numFmtId="0" fontId="15" fillId="34" borderId="0" xfId="0" quotePrefix="1" applyFont="1" applyFill="1"/>
    <xf numFmtId="0" fontId="16" fillId="34" borderId="0" xfId="0" applyFont="1" applyFill="1" applyAlignment="1">
      <alignment horizontal="left"/>
    </xf>
    <xf numFmtId="0" fontId="0" fillId="0" borderId="0" xfId="0" quotePrefix="1" applyFont="1" applyFill="1" applyAlignment="1">
      <alignment horizontal="left" indent="1"/>
    </xf>
    <xf numFmtId="5" fontId="15" fillId="37" borderId="0" xfId="89" applyNumberFormat="1" applyFill="1"/>
    <xf numFmtId="5" fontId="15" fillId="37" borderId="0" xfId="93" applyNumberFormat="1" applyFill="1"/>
    <xf numFmtId="0" fontId="2" fillId="0" borderId="0" xfId="157" applyFont="1"/>
    <xf numFmtId="0" fontId="57" fillId="39" borderId="0" xfId="211" applyFill="1" applyBorder="1" applyAlignment="1">
      <alignment horizontal="left" vertical="top"/>
    </xf>
    <xf numFmtId="0" fontId="57" fillId="39" borderId="0" xfId="211" applyFill="1" applyBorder="1" applyAlignment="1">
      <alignment horizontal="left" vertical="top" wrapText="1"/>
    </xf>
    <xf numFmtId="0" fontId="59" fillId="39" borderId="0" xfId="211" quotePrefix="1" applyFont="1" applyFill="1" applyBorder="1" applyAlignment="1">
      <alignment horizontal="right" vertical="top"/>
    </xf>
    <xf numFmtId="0" fontId="59" fillId="39" borderId="0" xfId="211" applyFont="1" applyFill="1" applyBorder="1" applyAlignment="1">
      <alignment horizontal="left" vertical="top" wrapText="1"/>
    </xf>
    <xf numFmtId="0" fontId="60" fillId="39" borderId="0" xfId="211" applyFont="1" applyFill="1" applyBorder="1" applyAlignment="1">
      <alignment horizontal="left" vertical="top" wrapText="1"/>
    </xf>
    <xf numFmtId="0" fontId="59" fillId="39" borderId="0" xfId="211" applyFont="1" applyFill="1" applyBorder="1" applyAlignment="1">
      <alignment horizontal="left" vertical="top"/>
    </xf>
    <xf numFmtId="0" fontId="59" fillId="39" borderId="0" xfId="211" applyFont="1" applyFill="1" applyBorder="1" applyAlignment="1">
      <alignment horizontal="center" vertical="top" wrapText="1"/>
    </xf>
    <xf numFmtId="164" fontId="15" fillId="34" borderId="33" xfId="93" applyNumberFormat="1" applyFont="1" applyFill="1" applyBorder="1" applyAlignment="1">
      <alignment horizontal="right"/>
    </xf>
    <xf numFmtId="5" fontId="0" fillId="34" borderId="0" xfId="212" applyNumberFormat="1" applyFont="1" applyFill="1"/>
    <xf numFmtId="164" fontId="15" fillId="34" borderId="36" xfId="93" applyNumberFormat="1" applyFont="1" applyFill="1" applyBorder="1" applyAlignment="1">
      <alignment horizontal="right"/>
    </xf>
    <xf numFmtId="164" fontId="15" fillId="34" borderId="38" xfId="93" applyNumberFormat="1" applyFont="1" applyFill="1" applyBorder="1" applyAlignment="1">
      <alignment horizontal="right"/>
    </xf>
    <xf numFmtId="164" fontId="15" fillId="37" borderId="0" xfId="93" applyNumberFormat="1" applyFont="1" applyFill="1" applyAlignment="1"/>
    <xf numFmtId="0" fontId="18" fillId="0" borderId="0" xfId="118" applyFont="1" applyFill="1" applyAlignment="1">
      <alignment horizontal="center"/>
    </xf>
    <xf numFmtId="0" fontId="15" fillId="0" borderId="0" xfId="118"/>
    <xf numFmtId="0" fontId="15" fillId="0" borderId="0" xfId="118" applyNumberFormat="1" applyFill="1"/>
    <xf numFmtId="0" fontId="59" fillId="39" borderId="0" xfId="211" applyFont="1" applyFill="1" applyBorder="1" applyAlignment="1">
      <alignment horizontal="left" vertical="top" wrapText="1"/>
    </xf>
    <xf numFmtId="0" fontId="59" fillId="39" borderId="0" xfId="211" applyFont="1" applyFill="1" applyBorder="1" applyAlignment="1">
      <alignment horizontal="center" vertical="top" wrapText="1"/>
    </xf>
    <xf numFmtId="0" fontId="36" fillId="0" borderId="21" xfId="157" applyFont="1" applyBorder="1" applyAlignment="1">
      <alignment horizontal="right"/>
    </xf>
    <xf numFmtId="0" fontId="36" fillId="0" borderId="22" xfId="157" applyFont="1" applyBorder="1" applyAlignment="1">
      <alignment horizontal="right"/>
    </xf>
    <xf numFmtId="0" fontId="31" fillId="36" borderId="21" xfId="157" applyFont="1" applyFill="1" applyBorder="1" applyAlignment="1">
      <alignment horizontal="center"/>
    </xf>
    <xf numFmtId="0" fontId="31" fillId="36" borderId="22" xfId="157" applyFont="1" applyFill="1" applyBorder="1" applyAlignment="1">
      <alignment horizontal="center"/>
    </xf>
    <xf numFmtId="0" fontId="31" fillId="36" borderId="23" xfId="157" applyFont="1" applyFill="1" applyBorder="1" applyAlignment="1">
      <alignment horizontal="center"/>
    </xf>
    <xf numFmtId="0" fontId="2" fillId="0" borderId="0" xfId="157" applyFont="1" applyAlignment="1">
      <alignment horizontal="left" wrapText="1"/>
    </xf>
    <xf numFmtId="0" fontId="6" fillId="0" borderId="0" xfId="157" applyAlignment="1">
      <alignment horizontal="left" wrapText="1"/>
    </xf>
    <xf numFmtId="0" fontId="37" fillId="35" borderId="3" xfId="157" applyFont="1" applyFill="1" applyBorder="1" applyAlignment="1">
      <alignment horizontal="center" vertical="center" wrapText="1"/>
    </xf>
    <xf numFmtId="0" fontId="31" fillId="35" borderId="3" xfId="157" quotePrefix="1" applyFont="1" applyFill="1" applyBorder="1" applyAlignment="1">
      <alignment horizontal="center"/>
    </xf>
    <xf numFmtId="0" fontId="31" fillId="35" borderId="3" xfId="157" applyFont="1" applyFill="1" applyBorder="1" applyAlignment="1">
      <alignment horizontal="center"/>
    </xf>
    <xf numFmtId="0" fontId="6" fillId="0" borderId="17" xfId="157" applyFill="1" applyBorder="1" applyAlignment="1">
      <alignment wrapText="1"/>
    </xf>
    <xf numFmtId="0" fontId="6" fillId="0" borderId="18" xfId="157" applyFill="1" applyBorder="1" applyAlignment="1">
      <alignment wrapText="1"/>
    </xf>
    <xf numFmtId="0" fontId="1" fillId="0" borderId="3" xfId="157" applyFont="1" applyFill="1" applyBorder="1" applyAlignment="1">
      <alignment wrapText="1"/>
    </xf>
    <xf numFmtId="0" fontId="6" fillId="0" borderId="3" xfId="157" applyFill="1" applyBorder="1" applyAlignment="1">
      <alignment wrapText="1"/>
    </xf>
    <xf numFmtId="0" fontId="31" fillId="0" borderId="5" xfId="157" applyFont="1" applyBorder="1" applyAlignment="1">
      <alignment horizontal="right"/>
    </xf>
    <xf numFmtId="0" fontId="31" fillId="0" borderId="10" xfId="157" applyFont="1" applyBorder="1" applyAlignment="1">
      <alignment horizontal="right"/>
    </xf>
    <xf numFmtId="0" fontId="6" fillId="0" borderId="8" xfId="157" applyFill="1" applyBorder="1" applyAlignment="1">
      <alignment horizontal="left"/>
    </xf>
    <xf numFmtId="0" fontId="6" fillId="0" borderId="11" xfId="157" applyFill="1" applyBorder="1" applyAlignment="1">
      <alignment horizontal="left"/>
    </xf>
    <xf numFmtId="0" fontId="3" fillId="0" borderId="6" xfId="157" applyFont="1" applyBorder="1" applyAlignment="1">
      <alignment horizontal="left"/>
    </xf>
    <xf numFmtId="0" fontId="6" fillId="0" borderId="9" xfId="157" applyBorder="1" applyAlignment="1">
      <alignment horizontal="left"/>
    </xf>
    <xf numFmtId="0" fontId="6" fillId="0" borderId="4" xfId="157" applyBorder="1" applyAlignment="1">
      <alignment horizontal="left"/>
    </xf>
    <xf numFmtId="0" fontId="32" fillId="34" borderId="37" xfId="118" applyFont="1" applyFill="1" applyBorder="1" applyAlignment="1">
      <alignment horizontal="left" wrapText="1"/>
    </xf>
    <xf numFmtId="0" fontId="32" fillId="34" borderId="38" xfId="118" applyFont="1" applyFill="1" applyBorder="1" applyAlignment="1">
      <alignment horizontal="left" wrapText="1"/>
    </xf>
    <xf numFmtId="0" fontId="15" fillId="34" borderId="0" xfId="0" applyNumberFormat="1" applyFont="1" applyFill="1" applyAlignment="1">
      <alignment horizontal="center"/>
    </xf>
    <xf numFmtId="0" fontId="31" fillId="0" borderId="3" xfId="157" applyFont="1" applyBorder="1" applyAlignment="1">
      <alignment horizontal="right"/>
    </xf>
    <xf numFmtId="0" fontId="6" fillId="0" borderId="6" xfId="157" applyBorder="1" applyAlignment="1">
      <alignment horizontal="left"/>
    </xf>
    <xf numFmtId="0" fontId="3" fillId="0" borderId="3" xfId="157" applyFont="1" applyBorder="1" applyAlignment="1">
      <alignment wrapText="1"/>
    </xf>
    <xf numFmtId="0" fontId="6" fillId="0" borderId="3" xfId="157" applyBorder="1" applyAlignment="1">
      <alignment wrapText="1"/>
    </xf>
    <xf numFmtId="0" fontId="32" fillId="34" borderId="36" xfId="118" applyFont="1" applyFill="1" applyBorder="1" applyAlignment="1">
      <alignment horizontal="left" wrapText="1"/>
    </xf>
  </cellXfs>
  <cellStyles count="213">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14" xfId="212"/>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8" xfId="126"/>
    <cellStyle name="Currency 2" xfId="91"/>
    <cellStyle name="Currency 3" xfId="133"/>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8" xfId="211"/>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10"/>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Normal_2008 ISO Transmission Study test v1" xfId="209"/>
    <cellStyle name="Normal_Statement AD Period I 2004" xfId="208"/>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6">
    <dxf>
      <fill>
        <patternFill>
          <bgColor indexed="42"/>
        </patternFill>
      </fill>
    </dxf>
    <dxf>
      <font>
        <condense val="0"/>
        <extend val="0"/>
        <color auto="1"/>
      </font>
    </dxf>
    <dxf>
      <font>
        <condense val="0"/>
        <extend val="0"/>
        <color auto="1"/>
      </font>
    </dxf>
    <dxf>
      <fill>
        <patternFill>
          <bgColor indexed="42"/>
        </patternFill>
      </fill>
    </dxf>
    <dxf>
      <font>
        <condense val="0"/>
        <extend val="0"/>
        <color auto="1"/>
      </font>
    </dxf>
    <dxf>
      <font>
        <condense val="0"/>
        <extend val="0"/>
        <color auto="1"/>
      </font>
    </dxf>
  </dxfs>
  <tableStyles count="0" defaultTableStyle="TableStyleMedium9" defaultPivotStyle="PivotStyleLight16"/>
  <colors>
    <mruColors>
      <color rgb="FF99FFCC"/>
      <color rgb="FFFFCCCC"/>
      <color rgb="FFFF99CC"/>
      <color rgb="FFFF99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tabSelected="1" zoomScaleNormal="100" workbookViewId="0">
      <selection activeCell="A2" sqref="A2:B2"/>
    </sheetView>
  </sheetViews>
  <sheetFormatPr defaultRowHeight="12.75" x14ac:dyDescent="0.2"/>
  <cols>
    <col min="1" max="1" width="5.28515625" style="508" customWidth="1"/>
    <col min="2" max="2" width="95" style="509" customWidth="1"/>
    <col min="3" max="16384" width="9.140625" style="508"/>
  </cols>
  <sheetData>
    <row r="1" spans="1:2" ht="18" customHeight="1" x14ac:dyDescent="0.2"/>
    <row r="2" spans="1:2" ht="18" customHeight="1" x14ac:dyDescent="0.2">
      <c r="A2" s="524" t="s">
        <v>724</v>
      </c>
      <c r="B2" s="524"/>
    </row>
    <row r="3" spans="1:2" ht="18" customHeight="1" x14ac:dyDescent="0.2">
      <c r="A3" s="524" t="s">
        <v>725</v>
      </c>
      <c r="B3" s="524"/>
    </row>
    <row r="4" spans="1:2" ht="15.75" customHeight="1" x14ac:dyDescent="0.2">
      <c r="A4" s="513"/>
      <c r="B4" s="514"/>
    </row>
    <row r="5" spans="1:2" ht="20.25" customHeight="1" x14ac:dyDescent="0.2">
      <c r="A5" s="523" t="s">
        <v>726</v>
      </c>
      <c r="B5" s="523"/>
    </row>
    <row r="6" spans="1:2" ht="110.25" x14ac:dyDescent="0.2">
      <c r="A6" s="510" t="s">
        <v>722</v>
      </c>
      <c r="B6" s="511" t="s">
        <v>777</v>
      </c>
    </row>
    <row r="7" spans="1:2" ht="15.75" x14ac:dyDescent="0.2">
      <c r="A7" s="513"/>
      <c r="B7" s="511"/>
    </row>
    <row r="8" spans="1:2" ht="79.5" customHeight="1" x14ac:dyDescent="0.2">
      <c r="A8" s="510" t="s">
        <v>723</v>
      </c>
      <c r="B8" s="512" t="s">
        <v>778</v>
      </c>
    </row>
    <row r="9" spans="1:2" ht="12.75" customHeight="1" x14ac:dyDescent="0.2">
      <c r="A9" s="513"/>
      <c r="B9" s="511"/>
    </row>
    <row r="10" spans="1:2" ht="15.75" x14ac:dyDescent="0.2">
      <c r="A10" s="513"/>
      <c r="B10" s="511" t="s">
        <v>779</v>
      </c>
    </row>
    <row r="11" spans="1:2" ht="12.75" customHeight="1" x14ac:dyDescent="0.2">
      <c r="A11" s="513"/>
      <c r="B11" s="511"/>
    </row>
    <row r="12" spans="1:2" ht="20.25" customHeight="1" x14ac:dyDescent="0.2">
      <c r="A12" s="523" t="s">
        <v>727</v>
      </c>
      <c r="B12" s="523"/>
    </row>
    <row r="13" spans="1:2" ht="93.75" customHeight="1" x14ac:dyDescent="0.2">
      <c r="A13" s="510" t="s">
        <v>722</v>
      </c>
      <c r="B13" s="512" t="s">
        <v>780</v>
      </c>
    </row>
    <row r="14" spans="1:2" ht="12.75" customHeight="1" x14ac:dyDescent="0.2">
      <c r="A14" s="513"/>
      <c r="B14" s="512"/>
    </row>
    <row r="15" spans="1:2" ht="204.75" x14ac:dyDescent="0.2">
      <c r="A15" s="510" t="s">
        <v>728</v>
      </c>
      <c r="B15" s="512" t="s">
        <v>783</v>
      </c>
    </row>
    <row r="16" spans="1:2" ht="12.75" customHeight="1" x14ac:dyDescent="0.2">
      <c r="A16" s="513"/>
      <c r="B16" s="508"/>
    </row>
    <row r="17" spans="1:2" ht="19.5" customHeight="1" x14ac:dyDescent="0.2">
      <c r="A17" s="513"/>
      <c r="B17" s="511" t="s">
        <v>781</v>
      </c>
    </row>
    <row r="18" spans="1:2" ht="18" customHeight="1" x14ac:dyDescent="0.2">
      <c r="A18" s="513"/>
      <c r="B18" s="511"/>
    </row>
    <row r="19" spans="1:2" ht="15.75" x14ac:dyDescent="0.2">
      <c r="A19" s="513"/>
      <c r="B19" s="512" t="s">
        <v>782</v>
      </c>
    </row>
    <row r="20" spans="1:2" ht="15.75" x14ac:dyDescent="0.2">
      <c r="A20" s="513"/>
      <c r="B20" s="512"/>
    </row>
  </sheetData>
  <mergeCells count="4">
    <mergeCell ref="A5:B5"/>
    <mergeCell ref="A2:B2"/>
    <mergeCell ref="A3:B3"/>
    <mergeCell ref="A12:B12"/>
  </mergeCells>
  <pageMargins left="0.7" right="0.7" top="0.90083333333333337" bottom="0.75" header="0.3" footer="0.3"/>
  <pageSetup scale="92" orientation="portrait" verticalDpi="1200" r:id="rId1"/>
  <headerFooter>
    <oddHeader>&amp;R&amp;8TO10 Draft Annual Update
Attachment 4
WP-Schedule 3-One Time Adj &amp; True Up Adj
Page &amp;P of &amp;N</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AR182"/>
  <sheetViews>
    <sheetView zoomScaleNormal="100" workbookViewId="0"/>
  </sheetViews>
  <sheetFormatPr defaultRowHeight="12.75" x14ac:dyDescent="0.2"/>
  <cols>
    <col min="1" max="1" width="4.7109375" customWidth="1"/>
    <col min="2" max="2" width="10.7109375" customWidth="1"/>
    <col min="3" max="13" width="13.7109375" customWidth="1"/>
  </cols>
  <sheetData>
    <row r="1" spans="1:13" x14ac:dyDescent="0.2">
      <c r="A1" s="375" t="s">
        <v>481</v>
      </c>
      <c r="B1" s="144"/>
      <c r="C1" s="144"/>
      <c r="D1" s="144"/>
      <c r="E1" s="144"/>
      <c r="F1" s="144"/>
      <c r="G1" s="144"/>
      <c r="H1" s="144"/>
      <c r="I1" s="107" t="s">
        <v>482</v>
      </c>
      <c r="J1" s="143"/>
      <c r="K1" s="144"/>
      <c r="L1" s="144"/>
    </row>
    <row r="2" spans="1:13" x14ac:dyDescent="0.2">
      <c r="A2" s="375"/>
      <c r="B2" s="144"/>
      <c r="C2" s="144"/>
      <c r="D2" s="144"/>
      <c r="E2" s="144"/>
      <c r="F2" s="144"/>
      <c r="G2" s="144"/>
      <c r="H2" s="144"/>
      <c r="I2" s="144"/>
      <c r="J2" s="144"/>
      <c r="K2" s="144"/>
      <c r="L2" s="144"/>
    </row>
    <row r="3" spans="1:13" x14ac:dyDescent="0.2">
      <c r="A3" s="375"/>
      <c r="B3" s="375" t="s">
        <v>483</v>
      </c>
      <c r="C3" s="144"/>
      <c r="D3" s="144"/>
      <c r="E3" s="144"/>
      <c r="F3" s="144"/>
      <c r="G3" s="144"/>
      <c r="H3" s="144"/>
      <c r="I3" s="144"/>
      <c r="J3" s="144"/>
      <c r="K3" s="144"/>
      <c r="L3" s="144"/>
    </row>
    <row r="4" spans="1:13" x14ac:dyDescent="0.2">
      <c r="A4" s="375"/>
      <c r="B4" s="375"/>
      <c r="C4" s="144"/>
      <c r="D4" s="144"/>
      <c r="E4" s="144"/>
      <c r="F4" s="144"/>
      <c r="G4" s="144"/>
      <c r="H4" s="144"/>
      <c r="I4" s="144"/>
      <c r="J4" s="144"/>
      <c r="K4" s="144"/>
      <c r="L4" s="144"/>
    </row>
    <row r="5" spans="1:13" x14ac:dyDescent="0.2">
      <c r="A5" s="375"/>
      <c r="B5" s="124" t="s">
        <v>484</v>
      </c>
      <c r="C5" s="144"/>
      <c r="D5" s="144"/>
      <c r="E5" s="144"/>
      <c r="F5" s="144"/>
      <c r="G5" s="144"/>
      <c r="H5" s="124"/>
      <c r="I5" s="376" t="s">
        <v>485</v>
      </c>
      <c r="J5" s="377">
        <v>2013</v>
      </c>
      <c r="K5" s="144"/>
      <c r="L5" s="144"/>
    </row>
    <row r="6" spans="1:13" x14ac:dyDescent="0.2">
      <c r="A6" s="375"/>
      <c r="B6" s="124"/>
      <c r="C6" s="144"/>
      <c r="D6" s="144"/>
      <c r="E6" s="144"/>
      <c r="F6" s="144"/>
      <c r="G6" s="144"/>
      <c r="H6" s="144"/>
      <c r="I6" s="144"/>
      <c r="J6" s="144"/>
      <c r="K6" s="144"/>
      <c r="L6" s="144"/>
    </row>
    <row r="7" spans="1:13" x14ac:dyDescent="0.2">
      <c r="A7" s="375"/>
      <c r="B7" s="129" t="s">
        <v>167</v>
      </c>
      <c r="C7" s="129" t="s">
        <v>168</v>
      </c>
      <c r="D7" s="129" t="s">
        <v>184</v>
      </c>
      <c r="E7" s="129" t="s">
        <v>185</v>
      </c>
      <c r="F7" s="129" t="s">
        <v>186</v>
      </c>
      <c r="G7" s="129" t="s">
        <v>187</v>
      </c>
      <c r="H7" s="129" t="s">
        <v>188</v>
      </c>
      <c r="I7" s="129" t="s">
        <v>350</v>
      </c>
      <c r="J7" s="129" t="s">
        <v>404</v>
      </c>
      <c r="K7" s="129" t="s">
        <v>403</v>
      </c>
      <c r="L7" s="129" t="s">
        <v>402</v>
      </c>
      <c r="M7" s="129" t="s">
        <v>401</v>
      </c>
    </row>
    <row r="8" spans="1:13" x14ac:dyDescent="0.2">
      <c r="A8" s="144"/>
      <c r="B8" s="378"/>
      <c r="C8" s="144"/>
      <c r="D8" s="144"/>
      <c r="E8" s="144"/>
      <c r="F8" s="144"/>
      <c r="G8" s="144"/>
      <c r="H8" s="144"/>
      <c r="I8" s="144"/>
      <c r="J8" s="144"/>
      <c r="K8" s="144"/>
      <c r="M8" s="379" t="s">
        <v>486</v>
      </c>
    </row>
    <row r="9" spans="1:13" x14ac:dyDescent="0.2">
      <c r="A9" s="144"/>
      <c r="B9" s="65"/>
      <c r="C9" s="129"/>
      <c r="D9" s="129"/>
      <c r="E9" s="144"/>
      <c r="F9" s="144"/>
      <c r="G9" s="144"/>
      <c r="H9" s="144"/>
      <c r="I9" s="144"/>
      <c r="J9" s="144"/>
      <c r="K9" s="144"/>
      <c r="L9" s="144"/>
    </row>
    <row r="10" spans="1:13" x14ac:dyDescent="0.2">
      <c r="A10" s="63" t="s">
        <v>170</v>
      </c>
      <c r="B10" s="101" t="s">
        <v>487</v>
      </c>
      <c r="C10" s="129">
        <v>350.1</v>
      </c>
      <c r="D10" s="129">
        <v>350.2</v>
      </c>
      <c r="E10" s="129">
        <v>352</v>
      </c>
      <c r="F10" s="129">
        <v>353</v>
      </c>
      <c r="G10" s="129">
        <v>354</v>
      </c>
      <c r="H10" s="129">
        <v>355</v>
      </c>
      <c r="I10" s="129">
        <v>356</v>
      </c>
      <c r="J10" s="129">
        <v>357</v>
      </c>
      <c r="K10" s="129">
        <v>358</v>
      </c>
      <c r="L10" s="129">
        <v>359</v>
      </c>
      <c r="M10" s="64" t="s">
        <v>169</v>
      </c>
    </row>
    <row r="11" spans="1:13" x14ac:dyDescent="0.2">
      <c r="A11" s="60">
        <v>1</v>
      </c>
      <c r="B11" s="380" t="s">
        <v>488</v>
      </c>
      <c r="C11" s="160">
        <v>77316396.51413767</v>
      </c>
      <c r="D11" s="381">
        <v>108586633.1352807</v>
      </c>
      <c r="E11" s="174">
        <v>207656916.13885635</v>
      </c>
      <c r="F11" s="160">
        <v>2231719300.1651497</v>
      </c>
      <c r="G11" s="160">
        <v>728242650.76823425</v>
      </c>
      <c r="H11" s="160">
        <v>148632888.64818719</v>
      </c>
      <c r="I11" s="160">
        <v>494953932.80086237</v>
      </c>
      <c r="J11" s="160">
        <v>645861.64825142385</v>
      </c>
      <c r="K11" s="160">
        <v>3959306.6879747109</v>
      </c>
      <c r="L11" s="160">
        <v>38747355.218424648</v>
      </c>
      <c r="M11" s="187">
        <f t="shared" ref="M11:M23" si="0">SUM(C11:L11)</f>
        <v>4040461241.7253594</v>
      </c>
    </row>
    <row r="12" spans="1:13" x14ac:dyDescent="0.2">
      <c r="A12" s="60">
        <f>A11+1</f>
        <v>2</v>
      </c>
      <c r="B12" s="382" t="s">
        <v>489</v>
      </c>
      <c r="C12" s="184">
        <f t="shared" ref="C12:L22" si="1">C146+C94 +C11</f>
        <v>77316396.51413767</v>
      </c>
      <c r="D12" s="383">
        <f t="shared" si="1"/>
        <v>126505712.03808522</v>
      </c>
      <c r="E12" s="184">
        <f t="shared" si="1"/>
        <v>207580912.70547622</v>
      </c>
      <c r="F12" s="384">
        <f t="shared" si="1"/>
        <v>2233679169.3693547</v>
      </c>
      <c r="G12" s="184">
        <f t="shared" si="1"/>
        <v>794383625.34368634</v>
      </c>
      <c r="H12" s="184">
        <f t="shared" si="1"/>
        <v>148499913.59606522</v>
      </c>
      <c r="I12" s="184">
        <f t="shared" si="1"/>
        <v>531443993.97923601</v>
      </c>
      <c r="J12" s="184">
        <f t="shared" si="1"/>
        <v>650483.07497889712</v>
      </c>
      <c r="K12" s="184">
        <f t="shared" si="1"/>
        <v>5577280.30619846</v>
      </c>
      <c r="L12" s="184">
        <f t="shared" si="1"/>
        <v>45091363.648424648</v>
      </c>
      <c r="M12" s="384">
        <f t="shared" si="0"/>
        <v>4170728850.5756435</v>
      </c>
    </row>
    <row r="13" spans="1:13" x14ac:dyDescent="0.2">
      <c r="A13" s="60">
        <f t="shared" ref="A13:A24" si="2">A12+1</f>
        <v>3</v>
      </c>
      <c r="B13" s="385" t="s">
        <v>490</v>
      </c>
      <c r="C13" s="184">
        <f t="shared" si="1"/>
        <v>77316396.51413767</v>
      </c>
      <c r="D13" s="383">
        <f t="shared" si="1"/>
        <v>126531642.82208216</v>
      </c>
      <c r="E13" s="184">
        <f t="shared" si="1"/>
        <v>208944702.86985618</v>
      </c>
      <c r="F13" s="384">
        <f t="shared" si="1"/>
        <v>2245889823.6961813</v>
      </c>
      <c r="G13" s="184">
        <f t="shared" si="1"/>
        <v>804782249.46783412</v>
      </c>
      <c r="H13" s="184">
        <f t="shared" si="1"/>
        <v>148493741.34432957</v>
      </c>
      <c r="I13" s="184">
        <f t="shared" si="1"/>
        <v>534573637.13497955</v>
      </c>
      <c r="J13" s="184">
        <f t="shared" si="1"/>
        <v>650105.56284478423</v>
      </c>
      <c r="K13" s="184">
        <f t="shared" si="1"/>
        <v>5568870.6202583313</v>
      </c>
      <c r="L13" s="184">
        <f t="shared" si="1"/>
        <v>45231239.008424647</v>
      </c>
      <c r="M13" s="384">
        <f t="shared" si="0"/>
        <v>4197982409.0409284</v>
      </c>
    </row>
    <row r="14" spans="1:13" x14ac:dyDescent="0.2">
      <c r="A14" s="60">
        <f t="shared" si="2"/>
        <v>4</v>
      </c>
      <c r="B14" s="385" t="s">
        <v>491</v>
      </c>
      <c r="C14" s="384">
        <f t="shared" si="1"/>
        <v>75619690.504421115</v>
      </c>
      <c r="D14" s="383">
        <f t="shared" si="1"/>
        <v>126644930.03379877</v>
      </c>
      <c r="E14" s="184">
        <f t="shared" si="1"/>
        <v>208835968.54570013</v>
      </c>
      <c r="F14" s="384">
        <f t="shared" si="1"/>
        <v>2257170325.0035076</v>
      </c>
      <c r="G14" s="184">
        <f t="shared" si="1"/>
        <v>807315820.65036869</v>
      </c>
      <c r="H14" s="184">
        <f t="shared" si="1"/>
        <v>148457314.11645523</v>
      </c>
      <c r="I14" s="184">
        <f t="shared" si="1"/>
        <v>533993849.68050486</v>
      </c>
      <c r="J14" s="184">
        <f t="shared" si="1"/>
        <v>648506.30969859031</v>
      </c>
      <c r="K14" s="184">
        <f t="shared" si="1"/>
        <v>5370796.5173368203</v>
      </c>
      <c r="L14" s="184">
        <f t="shared" si="1"/>
        <v>45139339.102914929</v>
      </c>
      <c r="M14" s="384">
        <f t="shared" si="0"/>
        <v>4209196540.4647064</v>
      </c>
    </row>
    <row r="15" spans="1:13" x14ac:dyDescent="0.2">
      <c r="A15" s="60">
        <f t="shared" si="2"/>
        <v>5</v>
      </c>
      <c r="B15" s="382" t="s">
        <v>492</v>
      </c>
      <c r="C15" s="384">
        <f t="shared" si="1"/>
        <v>75619690.504421115</v>
      </c>
      <c r="D15" s="383">
        <f t="shared" si="1"/>
        <v>126626407.08217348</v>
      </c>
      <c r="E15" s="184">
        <f t="shared" si="1"/>
        <v>215297828.73813063</v>
      </c>
      <c r="F15" s="384">
        <f t="shared" si="1"/>
        <v>2271105894.7862825</v>
      </c>
      <c r="G15" s="184">
        <f t="shared" si="1"/>
        <v>811284190.73266232</v>
      </c>
      <c r="H15" s="184">
        <f t="shared" si="1"/>
        <v>148327990.62012655</v>
      </c>
      <c r="I15" s="184">
        <f t="shared" si="1"/>
        <v>535020710.37806487</v>
      </c>
      <c r="J15" s="184">
        <f t="shared" si="1"/>
        <v>556091.98495378671</v>
      </c>
      <c r="K15" s="184">
        <f t="shared" si="1"/>
        <v>4843518.2129403176</v>
      </c>
      <c r="L15" s="184">
        <f t="shared" si="1"/>
        <v>45734724.297276504</v>
      </c>
      <c r="M15" s="384">
        <f t="shared" si="0"/>
        <v>4234417047.3370323</v>
      </c>
    </row>
    <row r="16" spans="1:13" x14ac:dyDescent="0.2">
      <c r="A16" s="60">
        <f t="shared" si="2"/>
        <v>6</v>
      </c>
      <c r="B16" s="385" t="s">
        <v>493</v>
      </c>
      <c r="C16" s="384">
        <f t="shared" si="1"/>
        <v>75599623.0390466</v>
      </c>
      <c r="D16" s="383">
        <f t="shared" si="1"/>
        <v>126642002.58217348</v>
      </c>
      <c r="E16" s="184">
        <f t="shared" si="1"/>
        <v>215982778.30415112</v>
      </c>
      <c r="F16" s="384">
        <f t="shared" si="1"/>
        <v>2284124060.0790477</v>
      </c>
      <c r="G16" s="184">
        <f t="shared" si="1"/>
        <v>957408564.99173141</v>
      </c>
      <c r="H16" s="184">
        <f t="shared" si="1"/>
        <v>148094089.48853403</v>
      </c>
      <c r="I16" s="184">
        <f t="shared" si="1"/>
        <v>602826020.42012501</v>
      </c>
      <c r="J16" s="184">
        <f t="shared" si="1"/>
        <v>474586.05774597556</v>
      </c>
      <c r="K16" s="184">
        <f t="shared" si="1"/>
        <v>4694439.6331702713</v>
      </c>
      <c r="L16" s="184">
        <f t="shared" si="1"/>
        <v>49463306.522109382</v>
      </c>
      <c r="M16" s="384">
        <f t="shared" si="0"/>
        <v>4465309471.1178341</v>
      </c>
    </row>
    <row r="17" spans="1:15" x14ac:dyDescent="0.2">
      <c r="A17" s="60">
        <f t="shared" si="2"/>
        <v>7</v>
      </c>
      <c r="B17" s="385" t="s">
        <v>494</v>
      </c>
      <c r="C17" s="384">
        <f t="shared" si="1"/>
        <v>76077809.090179399</v>
      </c>
      <c r="D17" s="383">
        <f t="shared" si="1"/>
        <v>126658858.0302497</v>
      </c>
      <c r="E17" s="184">
        <f t="shared" si="1"/>
        <v>312343006.11941862</v>
      </c>
      <c r="F17" s="384">
        <f t="shared" si="1"/>
        <v>2531864302.5879154</v>
      </c>
      <c r="G17" s="184">
        <f t="shared" si="1"/>
        <v>1213384110.4644709</v>
      </c>
      <c r="H17" s="184">
        <f t="shared" si="1"/>
        <v>146230629.49712646</v>
      </c>
      <c r="I17" s="184">
        <f t="shared" si="1"/>
        <v>691381128.65435374</v>
      </c>
      <c r="J17" s="184">
        <f t="shared" si="1"/>
        <v>318671.13092629367</v>
      </c>
      <c r="K17" s="184">
        <f t="shared" si="1"/>
        <v>6801052.9430277199</v>
      </c>
      <c r="L17" s="184">
        <f t="shared" si="1"/>
        <v>66622026.649759337</v>
      </c>
      <c r="M17" s="384">
        <f t="shared" si="0"/>
        <v>5171681595.1674271</v>
      </c>
    </row>
    <row r="18" spans="1:15" x14ac:dyDescent="0.2">
      <c r="A18" s="60">
        <f t="shared" si="2"/>
        <v>8</v>
      </c>
      <c r="B18" s="382" t="s">
        <v>495</v>
      </c>
      <c r="C18" s="384">
        <f t="shared" si="1"/>
        <v>76075348.023929104</v>
      </c>
      <c r="D18" s="383">
        <f t="shared" si="1"/>
        <v>126645759.08986215</v>
      </c>
      <c r="E18" s="184">
        <f t="shared" si="1"/>
        <v>322624953.57534122</v>
      </c>
      <c r="F18" s="384">
        <f t="shared" si="1"/>
        <v>2582305277.9555049</v>
      </c>
      <c r="G18" s="184">
        <f t="shared" si="1"/>
        <v>1218793756.2913837</v>
      </c>
      <c r="H18" s="184">
        <f t="shared" si="1"/>
        <v>145554368.78338453</v>
      </c>
      <c r="I18" s="184">
        <f t="shared" si="1"/>
        <v>692173895.3578074</v>
      </c>
      <c r="J18" s="184">
        <f t="shared" si="1"/>
        <v>269427.67180464865</v>
      </c>
      <c r="K18" s="184">
        <f t="shared" si="1"/>
        <v>6900407.6260699993</v>
      </c>
      <c r="L18" s="184">
        <f t="shared" si="1"/>
        <v>66957351.858656816</v>
      </c>
      <c r="M18" s="384">
        <f t="shared" si="0"/>
        <v>5238300546.2337437</v>
      </c>
    </row>
    <row r="19" spans="1:15" x14ac:dyDescent="0.2">
      <c r="A19" s="60">
        <f t="shared" si="2"/>
        <v>9</v>
      </c>
      <c r="B19" s="385" t="s">
        <v>496</v>
      </c>
      <c r="C19" s="384">
        <f t="shared" si="1"/>
        <v>76075348.023929104</v>
      </c>
      <c r="D19" s="383">
        <f t="shared" si="1"/>
        <v>129480212.18286474</v>
      </c>
      <c r="E19" s="184">
        <f t="shared" si="1"/>
        <v>336347023.00982481</v>
      </c>
      <c r="F19" s="384">
        <f t="shared" si="1"/>
        <v>2664821461.6555839</v>
      </c>
      <c r="G19" s="184">
        <f t="shared" si="1"/>
        <v>1219723630.2289128</v>
      </c>
      <c r="H19" s="184">
        <f t="shared" si="1"/>
        <v>145514971.25154024</v>
      </c>
      <c r="I19" s="184">
        <f t="shared" si="1"/>
        <v>692978718.82423306</v>
      </c>
      <c r="J19" s="184">
        <f t="shared" si="1"/>
        <v>234421.22403999337</v>
      </c>
      <c r="K19" s="184">
        <f t="shared" si="1"/>
        <v>7760672.8545896234</v>
      </c>
      <c r="L19" s="184">
        <f t="shared" si="1"/>
        <v>67106177.804774389</v>
      </c>
      <c r="M19" s="384">
        <f t="shared" si="0"/>
        <v>5340042637.0602922</v>
      </c>
    </row>
    <row r="20" spans="1:15" x14ac:dyDescent="0.2">
      <c r="A20" s="60">
        <f t="shared" si="2"/>
        <v>10</v>
      </c>
      <c r="B20" s="385" t="s">
        <v>497</v>
      </c>
      <c r="C20" s="384">
        <f t="shared" si="1"/>
        <v>75835141.807060346</v>
      </c>
      <c r="D20" s="383">
        <f t="shared" si="1"/>
        <v>132820371.83182438</v>
      </c>
      <c r="E20" s="184">
        <f t="shared" si="1"/>
        <v>341504280.61624646</v>
      </c>
      <c r="F20" s="384">
        <f t="shared" si="1"/>
        <v>2677404283.3535199</v>
      </c>
      <c r="G20" s="184">
        <f t="shared" si="1"/>
        <v>1406734259.8576536</v>
      </c>
      <c r="H20" s="184">
        <f t="shared" si="1"/>
        <v>144500633.3668496</v>
      </c>
      <c r="I20" s="184">
        <f t="shared" si="1"/>
        <v>742927102.11559284</v>
      </c>
      <c r="J20" s="184">
        <f t="shared" si="1"/>
        <v>208127.20798273839</v>
      </c>
      <c r="K20" s="184">
        <f t="shared" si="1"/>
        <v>7568903.7460353868</v>
      </c>
      <c r="L20" s="386">
        <f t="shared" si="1"/>
        <v>69612212.465911865</v>
      </c>
      <c r="M20" s="384">
        <f t="shared" si="0"/>
        <v>5599115316.3686781</v>
      </c>
    </row>
    <row r="21" spans="1:15" x14ac:dyDescent="0.2">
      <c r="A21" s="60">
        <f t="shared" si="2"/>
        <v>11</v>
      </c>
      <c r="B21" s="382" t="s">
        <v>498</v>
      </c>
      <c r="C21" s="384">
        <f t="shared" si="1"/>
        <v>75835141.807060346</v>
      </c>
      <c r="D21" s="383">
        <f t="shared" si="1"/>
        <v>132847820.7340257</v>
      </c>
      <c r="E21" s="184">
        <f t="shared" si="1"/>
        <v>345050250.84828079</v>
      </c>
      <c r="F21" s="384">
        <f t="shared" si="1"/>
        <v>2687901354.3520956</v>
      </c>
      <c r="G21" s="184">
        <f t="shared" si="1"/>
        <v>1423088455.902292</v>
      </c>
      <c r="H21" s="184">
        <f t="shared" si="1"/>
        <v>144595284.43164641</v>
      </c>
      <c r="I21" s="184">
        <f t="shared" si="1"/>
        <v>748502995.94282794</v>
      </c>
      <c r="J21" s="184">
        <f t="shared" si="1"/>
        <v>207922.63101498445</v>
      </c>
      <c r="K21" s="184">
        <f t="shared" si="1"/>
        <v>7578031.9800316151</v>
      </c>
      <c r="L21" s="184">
        <f t="shared" si="1"/>
        <v>70439027.853941321</v>
      </c>
      <c r="M21" s="384">
        <f t="shared" si="0"/>
        <v>5636046286.4832172</v>
      </c>
    </row>
    <row r="22" spans="1:15" ht="13.5" thickBot="1" x14ac:dyDescent="0.25">
      <c r="A22" s="60">
        <f t="shared" si="2"/>
        <v>12</v>
      </c>
      <c r="B22" s="382" t="s">
        <v>499</v>
      </c>
      <c r="C22" s="387">
        <f t="shared" si="1"/>
        <v>75835141.807060346</v>
      </c>
      <c r="D22" s="388">
        <f t="shared" si="1"/>
        <v>137015681.79927111</v>
      </c>
      <c r="E22" s="184">
        <f t="shared" si="1"/>
        <v>349109549.66840142</v>
      </c>
      <c r="F22" s="384">
        <f t="shared" si="1"/>
        <v>2691016411.3256059</v>
      </c>
      <c r="G22" s="184">
        <f t="shared" si="1"/>
        <v>1436003407.8219433</v>
      </c>
      <c r="H22" s="184">
        <f t="shared" si="1"/>
        <v>144361186.25660503</v>
      </c>
      <c r="I22" s="184">
        <f t="shared" si="1"/>
        <v>752297742.87893999</v>
      </c>
      <c r="J22" s="184">
        <f t="shared" si="1"/>
        <v>207796.03608565923</v>
      </c>
      <c r="K22" s="184">
        <f t="shared" si="1"/>
        <v>7740439.8462232547</v>
      </c>
      <c r="L22" s="184">
        <f t="shared" si="1"/>
        <v>70756792.701096669</v>
      </c>
      <c r="M22" s="384">
        <f t="shared" si="0"/>
        <v>5664344150.1412325</v>
      </c>
    </row>
    <row r="23" spans="1:15" ht="13.5" thickBot="1" x14ac:dyDescent="0.25">
      <c r="A23" s="60">
        <f t="shared" si="2"/>
        <v>13</v>
      </c>
      <c r="B23" s="389" t="s">
        <v>500</v>
      </c>
      <c r="C23" s="390">
        <v>75790815.887711585</v>
      </c>
      <c r="D23" s="391">
        <v>137147763.30748817</v>
      </c>
      <c r="E23" s="392">
        <v>376495330.511078</v>
      </c>
      <c r="F23" s="392">
        <v>2708882934.2757502</v>
      </c>
      <c r="G23" s="392">
        <v>1443480698.7225201</v>
      </c>
      <c r="H23" s="392">
        <v>143991959.274189</v>
      </c>
      <c r="I23" s="392">
        <v>764993253.88369596</v>
      </c>
      <c r="J23" s="392">
        <v>207785.262638988</v>
      </c>
      <c r="K23" s="392">
        <v>12339133.5415364</v>
      </c>
      <c r="L23" s="392">
        <v>68770632.706769794</v>
      </c>
      <c r="M23" s="392">
        <f t="shared" si="0"/>
        <v>5732100307.3733778</v>
      </c>
      <c r="O23" s="56"/>
    </row>
    <row r="24" spans="1:15" x14ac:dyDescent="0.2">
      <c r="A24" s="60">
        <f t="shared" si="2"/>
        <v>14</v>
      </c>
      <c r="B24" s="393" t="s">
        <v>501</v>
      </c>
      <c r="C24" s="384">
        <f t="shared" ref="C24:M24" si="3">AVERAGE(C11:C23)</f>
        <v>76177918.464402467</v>
      </c>
      <c r="D24" s="384">
        <f t="shared" si="3"/>
        <v>128011830.35916767</v>
      </c>
      <c r="E24" s="187">
        <f t="shared" si="3"/>
        <v>280597961.66544324</v>
      </c>
      <c r="F24" s="384">
        <f t="shared" si="3"/>
        <v>2466760353.7388844</v>
      </c>
      <c r="G24" s="187">
        <f t="shared" si="3"/>
        <v>1097278878.5572073</v>
      </c>
      <c r="H24" s="187">
        <f t="shared" si="3"/>
        <v>146558074.66731068</v>
      </c>
      <c r="I24" s="187">
        <f t="shared" si="3"/>
        <v>639851306.31163251</v>
      </c>
      <c r="J24" s="187">
        <f t="shared" si="3"/>
        <v>406137.36945898179</v>
      </c>
      <c r="K24" s="187">
        <f t="shared" si="3"/>
        <v>6669450.3473379174</v>
      </c>
      <c r="L24" s="187">
        <f t="shared" si="3"/>
        <v>57667042.295268074</v>
      </c>
      <c r="M24" s="384">
        <f t="shared" si="3"/>
        <v>4899978953.7761135</v>
      </c>
    </row>
    <row r="25" spans="1:15" x14ac:dyDescent="0.2">
      <c r="A25" s="124"/>
      <c r="B25" s="124"/>
      <c r="C25" s="124"/>
      <c r="D25" s="124"/>
      <c r="E25" s="124"/>
      <c r="F25" s="124"/>
      <c r="G25" s="124"/>
      <c r="H25" s="124"/>
      <c r="I25" s="124"/>
      <c r="J25" s="124"/>
      <c r="K25" s="124"/>
      <c r="L25" s="124"/>
    </row>
    <row r="26" spans="1:15" x14ac:dyDescent="0.2">
      <c r="A26" s="124"/>
      <c r="B26" s="375" t="s">
        <v>502</v>
      </c>
      <c r="C26" s="124"/>
      <c r="D26" s="124"/>
      <c r="E26" s="124"/>
      <c r="F26" s="124"/>
      <c r="G26" s="124"/>
      <c r="H26" s="124"/>
      <c r="I26" s="124"/>
      <c r="J26" s="124"/>
      <c r="K26" s="124"/>
      <c r="L26" s="124"/>
    </row>
    <row r="27" spans="1:15" x14ac:dyDescent="0.2">
      <c r="A27" s="124"/>
      <c r="B27" s="375"/>
      <c r="C27" s="124"/>
      <c r="D27" s="124"/>
      <c r="E27" s="124"/>
      <c r="F27" s="124"/>
      <c r="G27" s="124"/>
      <c r="H27" s="124"/>
      <c r="I27" s="124"/>
      <c r="J27" s="124"/>
      <c r="K27" s="124"/>
      <c r="L27" s="124"/>
    </row>
    <row r="28" spans="1:15" x14ac:dyDescent="0.2">
      <c r="A28" s="124"/>
      <c r="B28" s="142" t="s">
        <v>503</v>
      </c>
      <c r="C28" s="68"/>
      <c r="D28" s="68"/>
      <c r="E28" s="68"/>
      <c r="F28" s="68"/>
      <c r="G28" s="68"/>
      <c r="H28" s="68"/>
      <c r="I28" s="124"/>
      <c r="J28" s="124"/>
      <c r="K28" s="124"/>
      <c r="L28" s="124"/>
    </row>
    <row r="29" spans="1:15" x14ac:dyDescent="0.2">
      <c r="A29" s="124"/>
      <c r="B29" s="375"/>
      <c r="C29" s="124"/>
      <c r="D29" s="124"/>
      <c r="E29" s="124"/>
      <c r="F29" s="124"/>
      <c r="G29" s="124"/>
      <c r="H29" s="124"/>
      <c r="I29" s="124"/>
      <c r="J29" s="124"/>
      <c r="K29" s="124"/>
      <c r="L29" s="124"/>
    </row>
    <row r="30" spans="1:15" x14ac:dyDescent="0.2">
      <c r="A30" s="375"/>
      <c r="B30" s="129" t="s">
        <v>167</v>
      </c>
      <c r="C30" s="129" t="s">
        <v>168</v>
      </c>
      <c r="D30" s="129" t="s">
        <v>184</v>
      </c>
      <c r="E30" s="129" t="s">
        <v>185</v>
      </c>
      <c r="F30" s="129" t="s">
        <v>186</v>
      </c>
      <c r="G30" s="124"/>
      <c r="H30" s="124"/>
      <c r="I30" s="124"/>
      <c r="J30" s="124"/>
      <c r="K30" s="124"/>
      <c r="L30" s="124"/>
    </row>
    <row r="31" spans="1:15" x14ac:dyDescent="0.2">
      <c r="A31" s="144"/>
      <c r="B31" s="379"/>
      <c r="C31" s="144"/>
      <c r="D31" s="144"/>
      <c r="E31" s="144"/>
      <c r="F31" s="379" t="s">
        <v>504</v>
      </c>
      <c r="G31" s="124"/>
      <c r="H31" s="124"/>
      <c r="K31" s="124"/>
      <c r="L31" s="124"/>
    </row>
    <row r="32" spans="1:15" x14ac:dyDescent="0.2">
      <c r="A32" s="144"/>
      <c r="B32" s="65"/>
      <c r="C32" s="129"/>
      <c r="D32" s="129"/>
      <c r="E32" s="144"/>
      <c r="F32" s="144"/>
      <c r="G32" s="124"/>
      <c r="H32" s="124"/>
      <c r="K32" s="124"/>
      <c r="L32" s="124"/>
    </row>
    <row r="33" spans="1:12" ht="12.75" customHeight="1" x14ac:dyDescent="0.2">
      <c r="A33" s="63" t="s">
        <v>170</v>
      </c>
      <c r="B33" s="101" t="s">
        <v>487</v>
      </c>
      <c r="C33" s="150">
        <v>360</v>
      </c>
      <c r="D33" s="150">
        <v>361</v>
      </c>
      <c r="E33" s="150">
        <v>362</v>
      </c>
      <c r="F33" s="64" t="s">
        <v>169</v>
      </c>
      <c r="G33" s="124"/>
      <c r="H33" s="124"/>
      <c r="K33" s="124"/>
      <c r="L33" s="124"/>
    </row>
    <row r="34" spans="1:12" ht="12.75" customHeight="1" x14ac:dyDescent="0.2">
      <c r="A34" s="60">
        <f>A24+1</f>
        <v>15</v>
      </c>
      <c r="B34" s="385" t="s">
        <v>488</v>
      </c>
      <c r="C34" s="174">
        <v>78349</v>
      </c>
      <c r="D34" s="174">
        <v>718565</v>
      </c>
      <c r="E34" s="174">
        <v>6051836</v>
      </c>
      <c r="F34" s="187">
        <f>SUM(C34:E34)</f>
        <v>6848750</v>
      </c>
      <c r="G34" s="124"/>
      <c r="H34" s="124"/>
      <c r="K34" s="124"/>
      <c r="L34" s="124"/>
    </row>
    <row r="35" spans="1:12" ht="12.75" customHeight="1" x14ac:dyDescent="0.2">
      <c r="A35" s="60">
        <f>A34+1</f>
        <v>16</v>
      </c>
      <c r="B35" s="385" t="s">
        <v>500</v>
      </c>
      <c r="C35" s="394">
        <v>0</v>
      </c>
      <c r="D35" s="394">
        <v>0</v>
      </c>
      <c r="E35" s="394">
        <v>0</v>
      </c>
      <c r="F35" s="395">
        <f>SUM(C35:E35)</f>
        <v>0</v>
      </c>
      <c r="G35" s="124"/>
      <c r="H35" s="124"/>
      <c r="K35" s="124"/>
      <c r="L35" s="124"/>
    </row>
    <row r="36" spans="1:12" ht="12.75" customHeight="1" x14ac:dyDescent="0.2">
      <c r="A36" s="60">
        <f>A35+1</f>
        <v>17</v>
      </c>
      <c r="B36" s="393" t="s">
        <v>505</v>
      </c>
      <c r="C36" s="187">
        <f>AVERAGE(C34:C35)</f>
        <v>39174.5</v>
      </c>
      <c r="D36" s="187">
        <f>AVERAGE(D34:D35)</f>
        <v>359282.5</v>
      </c>
      <c r="E36" s="187">
        <f>AVERAGE(E34:E35)</f>
        <v>3025918</v>
      </c>
      <c r="F36" s="187">
        <f>AVERAGE(F34:F35)</f>
        <v>3424375</v>
      </c>
      <c r="G36" s="124"/>
      <c r="H36" s="124"/>
      <c r="K36" s="124"/>
      <c r="L36" s="124"/>
    </row>
    <row r="37" spans="1:12" ht="12.75" customHeight="1" x14ac:dyDescent="0.2">
      <c r="A37" s="124"/>
      <c r="B37" s="124"/>
      <c r="C37" s="124"/>
      <c r="D37" s="124"/>
      <c r="E37" s="124"/>
      <c r="F37" s="124"/>
      <c r="G37" s="124"/>
      <c r="H37" s="124"/>
      <c r="K37" s="124"/>
      <c r="L37" s="124"/>
    </row>
    <row r="38" spans="1:12" x14ac:dyDescent="0.2">
      <c r="A38" s="124"/>
      <c r="B38" s="56" t="s">
        <v>506</v>
      </c>
      <c r="C38" s="74"/>
      <c r="D38" s="74"/>
      <c r="E38" s="123"/>
      <c r="F38" s="396"/>
      <c r="G38" s="397"/>
      <c r="H38" s="124"/>
      <c r="K38" s="124"/>
      <c r="L38" s="124"/>
    </row>
    <row r="39" spans="1:12" x14ac:dyDescent="0.2">
      <c r="A39" s="124"/>
      <c r="B39" s="124" t="s">
        <v>507</v>
      </c>
      <c r="C39" s="74"/>
      <c r="D39" s="74"/>
      <c r="E39" s="123"/>
      <c r="F39" s="396"/>
      <c r="G39" s="397"/>
      <c r="H39" s="124"/>
      <c r="K39" s="124"/>
      <c r="L39" s="124"/>
    </row>
    <row r="40" spans="1:12" x14ac:dyDescent="0.2">
      <c r="A40" s="124"/>
      <c r="B40" s="124"/>
      <c r="C40" s="74"/>
      <c r="D40" s="74"/>
      <c r="E40" s="123"/>
      <c r="F40" s="396"/>
      <c r="G40" s="397"/>
      <c r="H40" s="124"/>
      <c r="K40" s="124"/>
      <c r="L40" s="124"/>
    </row>
    <row r="41" spans="1:12" x14ac:dyDescent="0.2">
      <c r="A41" s="124"/>
      <c r="B41" s="124"/>
      <c r="C41" s="74"/>
      <c r="D41" s="398" t="s">
        <v>7</v>
      </c>
      <c r="E41" s="399" t="s">
        <v>8</v>
      </c>
      <c r="F41" s="396"/>
      <c r="G41" s="397"/>
      <c r="H41" s="124"/>
      <c r="K41" s="124"/>
      <c r="L41" s="124"/>
    </row>
    <row r="42" spans="1:12" x14ac:dyDescent="0.2">
      <c r="A42" s="60">
        <f>A36+1</f>
        <v>18</v>
      </c>
      <c r="B42" s="124"/>
      <c r="C42" s="123" t="s">
        <v>508</v>
      </c>
      <c r="D42" s="400">
        <f>M24+F36</f>
        <v>4903403328.7761135</v>
      </c>
      <c r="E42" s="401" t="str">
        <f>"Sum of Line "&amp;A24&amp;", "&amp;M7&amp;" and Line "&amp;A36&amp;", "&amp;F30&amp;""</f>
        <v>Sum of Line 14, Col 12 and Line 17, Col 5</v>
      </c>
      <c r="F42" s="124"/>
      <c r="G42" s="124"/>
      <c r="H42" s="124"/>
      <c r="K42" s="124"/>
      <c r="L42" s="124"/>
    </row>
    <row r="43" spans="1:12" x14ac:dyDescent="0.2">
      <c r="A43" s="60">
        <f>A42+1</f>
        <v>19</v>
      </c>
      <c r="B43" s="124"/>
      <c r="C43" s="123" t="s">
        <v>509</v>
      </c>
      <c r="D43" s="396">
        <f>M23+F35</f>
        <v>5732100307.3733778</v>
      </c>
      <c r="E43" s="401" t="str">
        <f>"Sum of Line "&amp;A23&amp;", "&amp;M7&amp;" and Line "&amp;A35&amp;", "&amp;F30&amp;""</f>
        <v>Sum of Line 13, Col 12 and Line 16, Col 5</v>
      </c>
      <c r="F43" s="124"/>
      <c r="G43" s="124"/>
      <c r="H43" s="124"/>
      <c r="I43" s="124"/>
      <c r="J43" s="124"/>
      <c r="K43" s="124"/>
      <c r="L43" s="124"/>
    </row>
    <row r="44" spans="1:12" x14ac:dyDescent="0.2">
      <c r="A44" s="124"/>
      <c r="B44" s="124"/>
      <c r="C44" s="74"/>
      <c r="D44" s="74"/>
      <c r="E44" s="402"/>
      <c r="F44" s="403"/>
      <c r="G44" s="404"/>
      <c r="H44" s="124"/>
      <c r="I44" s="124"/>
      <c r="J44" s="124"/>
      <c r="K44" s="124"/>
      <c r="L44" s="124"/>
    </row>
    <row r="45" spans="1:12" x14ac:dyDescent="0.2">
      <c r="A45" s="124"/>
      <c r="B45" s="56" t="s">
        <v>510</v>
      </c>
      <c r="C45" s="124"/>
      <c r="D45" s="124"/>
      <c r="E45" s="402"/>
      <c r="F45" s="403"/>
      <c r="G45" s="404"/>
      <c r="H45" s="124"/>
      <c r="I45" s="124"/>
      <c r="J45" s="124"/>
      <c r="K45" s="124"/>
      <c r="L45" s="124"/>
    </row>
    <row r="46" spans="1:12" x14ac:dyDescent="0.2">
      <c r="A46" s="124"/>
      <c r="B46" s="225" t="s">
        <v>511</v>
      </c>
      <c r="C46" s="124"/>
      <c r="D46" s="124"/>
      <c r="E46" s="402"/>
      <c r="F46" s="403"/>
      <c r="G46" s="404"/>
      <c r="H46" s="124"/>
      <c r="I46" s="124"/>
      <c r="J46" s="124"/>
      <c r="K46" s="124"/>
      <c r="L46" s="124"/>
    </row>
    <row r="47" spans="1:12" ht="12.75" customHeight="1" x14ac:dyDescent="0.2">
      <c r="A47" s="124"/>
      <c r="B47" s="225"/>
      <c r="C47" s="124"/>
      <c r="D47" s="124"/>
      <c r="E47" s="402"/>
      <c r="F47" s="403"/>
      <c r="G47" s="404"/>
      <c r="H47" s="124"/>
      <c r="I47" s="124"/>
      <c r="J47" s="124"/>
      <c r="K47" s="124"/>
      <c r="L47" s="124"/>
    </row>
    <row r="48" spans="1:12" x14ac:dyDescent="0.2">
      <c r="A48" s="124"/>
      <c r="B48" s="56"/>
      <c r="C48" s="379" t="s">
        <v>512</v>
      </c>
      <c r="D48" s="124"/>
      <c r="E48" s="402"/>
      <c r="F48" s="129" t="s">
        <v>167</v>
      </c>
      <c r="G48" s="129" t="s">
        <v>168</v>
      </c>
      <c r="H48" s="129" t="s">
        <v>184</v>
      </c>
      <c r="I48" s="124"/>
      <c r="J48" s="124"/>
      <c r="K48" s="124"/>
      <c r="L48" s="124"/>
    </row>
    <row r="49" spans="1:12" x14ac:dyDescent="0.2">
      <c r="A49" s="124"/>
      <c r="B49" s="56"/>
      <c r="C49" s="60" t="s">
        <v>513</v>
      </c>
      <c r="D49" s="402"/>
      <c r="F49" s="60" t="s">
        <v>514</v>
      </c>
      <c r="G49" s="60" t="s">
        <v>515</v>
      </c>
      <c r="H49" s="405" t="s">
        <v>169</v>
      </c>
      <c r="I49" s="404"/>
      <c r="J49" s="124"/>
      <c r="K49" s="124"/>
      <c r="L49" s="124"/>
    </row>
    <row r="50" spans="1:12" x14ac:dyDescent="0.2">
      <c r="A50" s="124"/>
      <c r="B50" s="124"/>
      <c r="C50" s="60" t="s">
        <v>20</v>
      </c>
      <c r="D50" s="321" t="s">
        <v>516</v>
      </c>
      <c r="F50" s="321" t="s">
        <v>517</v>
      </c>
      <c r="G50" s="321" t="s">
        <v>517</v>
      </c>
      <c r="H50" s="321" t="s">
        <v>518</v>
      </c>
      <c r="I50" s="321"/>
      <c r="J50" s="124"/>
      <c r="K50" s="124"/>
      <c r="L50" s="124"/>
    </row>
    <row r="51" spans="1:12" x14ac:dyDescent="0.2">
      <c r="A51" s="124"/>
      <c r="B51" s="124"/>
      <c r="C51" s="64" t="s">
        <v>19</v>
      </c>
      <c r="D51" s="128" t="s">
        <v>8</v>
      </c>
      <c r="F51" s="318" t="s">
        <v>519</v>
      </c>
      <c r="G51" s="318" t="s">
        <v>519</v>
      </c>
      <c r="H51" s="318" t="s">
        <v>519</v>
      </c>
      <c r="I51" s="120" t="s">
        <v>53</v>
      </c>
      <c r="J51" s="124"/>
      <c r="K51" s="124"/>
      <c r="L51" s="124"/>
    </row>
    <row r="52" spans="1:12" x14ac:dyDescent="0.2">
      <c r="A52" s="60">
        <f>A43+1</f>
        <v>20</v>
      </c>
      <c r="B52" s="124"/>
      <c r="C52" s="209" t="s">
        <v>9</v>
      </c>
      <c r="D52" s="406" t="s">
        <v>520</v>
      </c>
      <c r="F52" s="261">
        <v>2405863603</v>
      </c>
      <c r="G52" s="160">
        <v>1688953361</v>
      </c>
      <c r="H52" s="396">
        <f>SUM(F52:G52)</f>
        <v>4094816964</v>
      </c>
      <c r="I52" s="406" t="s">
        <v>521</v>
      </c>
      <c r="J52" s="68"/>
      <c r="K52" s="124"/>
      <c r="L52" s="124"/>
    </row>
    <row r="53" spans="1:12" ht="12.75" customHeight="1" x14ac:dyDescent="0.2">
      <c r="A53" s="60">
        <f>A52+1</f>
        <v>21</v>
      </c>
      <c r="B53" s="124"/>
      <c r="C53" s="118" t="s">
        <v>9</v>
      </c>
      <c r="D53" s="406" t="s">
        <v>522</v>
      </c>
      <c r="E53" s="57"/>
      <c r="F53" s="261">
        <v>2566405180</v>
      </c>
      <c r="G53" s="160">
        <v>1792693394</v>
      </c>
      <c r="H53" s="396">
        <f>SUM(F53:G53)</f>
        <v>4359098574</v>
      </c>
      <c r="I53" s="70" t="s">
        <v>523</v>
      </c>
      <c r="J53" s="68"/>
      <c r="K53" s="124"/>
      <c r="L53" s="124"/>
    </row>
    <row r="54" spans="1:12" ht="12.75" customHeight="1" x14ac:dyDescent="0.2">
      <c r="A54" s="124"/>
      <c r="B54" s="124"/>
      <c r="C54" s="118"/>
      <c r="D54" s="119"/>
      <c r="E54" s="407"/>
      <c r="F54" s="396"/>
      <c r="G54" s="225"/>
      <c r="H54" s="124"/>
      <c r="I54" s="124"/>
      <c r="J54" s="124"/>
      <c r="K54" s="124"/>
      <c r="L54" s="124"/>
    </row>
    <row r="55" spans="1:12" ht="12.75" customHeight="1" x14ac:dyDescent="0.2">
      <c r="A55" s="124"/>
      <c r="B55" s="124"/>
      <c r="C55" s="74" t="s">
        <v>524</v>
      </c>
      <c r="D55" s="74"/>
      <c r="E55" s="402"/>
      <c r="F55" s="399" t="s">
        <v>7</v>
      </c>
      <c r="G55" s="408" t="s">
        <v>8</v>
      </c>
      <c r="H55" s="124"/>
      <c r="I55" s="124"/>
      <c r="J55" s="124"/>
      <c r="K55" s="124"/>
      <c r="L55" s="124"/>
    </row>
    <row r="56" spans="1:12" x14ac:dyDescent="0.2">
      <c r="A56" s="60">
        <f>A53+1</f>
        <v>22</v>
      </c>
      <c r="B56" s="124"/>
      <c r="C56" s="74"/>
      <c r="D56" s="74"/>
      <c r="E56" s="123" t="s">
        <v>525</v>
      </c>
      <c r="F56" s="396">
        <f>(H52+H53)/2</f>
        <v>4226957769</v>
      </c>
      <c r="G56" s="409" t="str">
        <f>"Average of Line "&amp;A52&amp;" and "&amp;A53&amp;"."</f>
        <v>Average of Line 20 and 21.</v>
      </c>
      <c r="H56" s="124"/>
      <c r="I56" s="124"/>
      <c r="J56" s="124"/>
      <c r="K56" s="124"/>
      <c r="L56" s="124"/>
    </row>
    <row r="57" spans="1:12" x14ac:dyDescent="0.2">
      <c r="A57" s="60">
        <f>A56+1</f>
        <v>23</v>
      </c>
      <c r="B57" s="124"/>
      <c r="C57" s="74"/>
      <c r="D57" s="74"/>
      <c r="E57" s="164" t="s">
        <v>526</v>
      </c>
      <c r="F57" s="410">
        <v>4.2450573372571437E-2</v>
      </c>
      <c r="G57" s="409" t="s">
        <v>766</v>
      </c>
      <c r="H57" s="124"/>
      <c r="I57" s="124"/>
      <c r="J57" s="124"/>
      <c r="K57" s="124"/>
      <c r="L57" s="124"/>
    </row>
    <row r="58" spans="1:12" x14ac:dyDescent="0.2">
      <c r="A58" s="60">
        <f>A57+1</f>
        <v>24</v>
      </c>
      <c r="B58" s="124"/>
      <c r="C58" s="74"/>
      <c r="D58" s="74"/>
      <c r="E58" s="164" t="s">
        <v>527</v>
      </c>
      <c r="F58" s="396">
        <f>F56*F57</f>
        <v>179436780.91569537</v>
      </c>
      <c r="G58" s="409" t="str">
        <f>"Line "&amp;A56&amp;" * Line "&amp;A57&amp;"."</f>
        <v>Line 22 * Line 23.</v>
      </c>
      <c r="H58" s="124"/>
      <c r="I58" s="124"/>
      <c r="J58" s="124"/>
      <c r="K58" s="124"/>
      <c r="L58" s="124"/>
    </row>
    <row r="59" spans="1:12" x14ac:dyDescent="0.2">
      <c r="A59" s="124"/>
      <c r="B59" s="124"/>
      <c r="C59" s="74"/>
      <c r="D59" s="74"/>
      <c r="E59" s="164"/>
      <c r="F59" s="396"/>
      <c r="G59" s="397"/>
      <c r="H59" s="124"/>
      <c r="I59" s="124"/>
      <c r="J59" s="124"/>
      <c r="K59" s="124"/>
      <c r="L59" s="124"/>
    </row>
    <row r="60" spans="1:12" x14ac:dyDescent="0.2">
      <c r="A60" s="124"/>
      <c r="B60" s="124"/>
      <c r="C60" s="74" t="s">
        <v>528</v>
      </c>
      <c r="D60" s="74"/>
      <c r="E60" s="402"/>
      <c r="F60" s="399" t="s">
        <v>7</v>
      </c>
      <c r="G60" s="408" t="s">
        <v>8</v>
      </c>
      <c r="H60" s="124"/>
      <c r="I60" s="124"/>
      <c r="J60" s="124"/>
      <c r="K60" s="124"/>
      <c r="L60" s="124"/>
    </row>
    <row r="61" spans="1:12" x14ac:dyDescent="0.2">
      <c r="A61" s="60">
        <f>A58+1</f>
        <v>25</v>
      </c>
      <c r="B61" s="124"/>
      <c r="C61" s="74"/>
      <c r="D61" s="74"/>
      <c r="E61" s="123" t="s">
        <v>509</v>
      </c>
      <c r="F61" s="396">
        <f>H53</f>
        <v>4359098574</v>
      </c>
      <c r="G61" s="409" t="str">
        <f>"Line "&amp;A53&amp;"."</f>
        <v>Line 21.</v>
      </c>
      <c r="H61" s="124"/>
      <c r="I61" s="124"/>
      <c r="J61" s="124"/>
      <c r="K61" s="124"/>
      <c r="L61" s="124"/>
    </row>
    <row r="62" spans="1:12" x14ac:dyDescent="0.2">
      <c r="A62" s="60">
        <f>A61+1</f>
        <v>26</v>
      </c>
      <c r="B62" s="124"/>
      <c r="C62" s="74"/>
      <c r="D62" s="74"/>
      <c r="E62" s="164" t="s">
        <v>526</v>
      </c>
      <c r="F62" s="410">
        <v>4.2450573372571437E-2</v>
      </c>
      <c r="G62" s="409" t="s">
        <v>766</v>
      </c>
      <c r="H62" s="124"/>
      <c r="I62" s="124"/>
      <c r="J62" s="124"/>
      <c r="K62" s="124"/>
      <c r="L62" s="124"/>
    </row>
    <row r="63" spans="1:12" x14ac:dyDescent="0.2">
      <c r="A63" s="60">
        <f>A62+1</f>
        <v>27</v>
      </c>
      <c r="B63" s="124"/>
      <c r="C63" s="74"/>
      <c r="D63" s="74"/>
      <c r="E63" s="164" t="s">
        <v>527</v>
      </c>
      <c r="F63" s="396">
        <f>F61*F62</f>
        <v>185046233.85385853</v>
      </c>
      <c r="G63" s="409" t="str">
        <f>"Line "&amp;A61&amp;" * Line "&amp;A62&amp;"."</f>
        <v>Line 25 * Line 26.</v>
      </c>
      <c r="H63" s="124"/>
      <c r="I63" s="124"/>
      <c r="J63" s="124"/>
      <c r="K63" s="124"/>
      <c r="L63" s="124"/>
    </row>
    <row r="64" spans="1:12" x14ac:dyDescent="0.2">
      <c r="A64" s="124"/>
      <c r="B64" s="124"/>
      <c r="C64" s="124"/>
      <c r="D64" s="124"/>
      <c r="E64" s="124"/>
      <c r="F64" s="124"/>
      <c r="G64" s="124"/>
      <c r="H64" s="124"/>
      <c r="I64" s="124"/>
      <c r="J64" s="124"/>
      <c r="K64" s="124"/>
      <c r="L64" s="124"/>
    </row>
    <row r="65" spans="1:13" x14ac:dyDescent="0.2">
      <c r="A65" s="124"/>
      <c r="B65" s="124"/>
      <c r="C65" s="124"/>
      <c r="D65" s="124"/>
      <c r="E65" s="124"/>
      <c r="F65" s="124"/>
      <c r="G65" s="124"/>
      <c r="H65" s="124"/>
      <c r="I65" s="124"/>
      <c r="J65" s="124"/>
      <c r="K65" s="124"/>
      <c r="L65" s="124"/>
    </row>
    <row r="66" spans="1:13" x14ac:dyDescent="0.2">
      <c r="A66" s="124"/>
      <c r="B66" s="56" t="s">
        <v>529</v>
      </c>
      <c r="C66" s="124"/>
      <c r="D66" s="124"/>
      <c r="E66" s="124"/>
      <c r="F66" s="124"/>
      <c r="G66" s="124"/>
      <c r="H66" s="124"/>
      <c r="I66" s="124"/>
      <c r="J66" s="124"/>
      <c r="K66" s="124"/>
      <c r="L66" s="124"/>
    </row>
    <row r="67" spans="1:13" x14ac:dyDescent="0.2">
      <c r="A67" s="124"/>
      <c r="C67" s="124"/>
      <c r="D67" s="124"/>
      <c r="E67" s="124"/>
      <c r="F67" s="124"/>
      <c r="G67" s="124"/>
      <c r="H67" s="124"/>
      <c r="I67" s="124"/>
      <c r="J67" s="124"/>
      <c r="K67" s="124"/>
      <c r="L67" s="124"/>
    </row>
    <row r="68" spans="1:13" x14ac:dyDescent="0.2">
      <c r="B68" s="56" t="s">
        <v>530</v>
      </c>
      <c r="C68" s="124"/>
      <c r="D68" s="124"/>
      <c r="E68" s="124"/>
      <c r="F68" s="124"/>
      <c r="G68" s="124"/>
      <c r="H68" s="124"/>
      <c r="I68" s="124"/>
      <c r="J68" s="124"/>
      <c r="K68" s="124"/>
      <c r="L68" s="124"/>
    </row>
    <row r="69" spans="1:13" x14ac:dyDescent="0.2">
      <c r="A69" s="124"/>
      <c r="C69" s="124"/>
      <c r="D69" s="124"/>
      <c r="E69" s="124"/>
      <c r="F69" s="124"/>
      <c r="G69" s="124"/>
      <c r="H69" s="124"/>
      <c r="I69" s="124"/>
      <c r="J69" s="124"/>
      <c r="K69" s="124"/>
      <c r="L69" s="124"/>
    </row>
    <row r="70" spans="1:13" x14ac:dyDescent="0.2">
      <c r="A70" s="375"/>
      <c r="B70" s="129" t="s">
        <v>167</v>
      </c>
      <c r="C70" s="129" t="s">
        <v>168</v>
      </c>
      <c r="D70" s="129" t="s">
        <v>184</v>
      </c>
      <c r="E70" s="129" t="s">
        <v>185</v>
      </c>
      <c r="F70" s="129" t="s">
        <v>186</v>
      </c>
      <c r="G70" s="129" t="s">
        <v>187</v>
      </c>
      <c r="H70" s="129" t="s">
        <v>188</v>
      </c>
      <c r="I70" s="129" t="s">
        <v>350</v>
      </c>
      <c r="J70" s="129" t="s">
        <v>404</v>
      </c>
      <c r="K70" s="129" t="s">
        <v>403</v>
      </c>
      <c r="L70" s="129" t="s">
        <v>402</v>
      </c>
      <c r="M70" s="129" t="s">
        <v>401</v>
      </c>
    </row>
    <row r="71" spans="1:13" x14ac:dyDescent="0.2">
      <c r="A71" s="144"/>
      <c r="B71" s="379"/>
      <c r="C71" s="144"/>
      <c r="D71" s="144"/>
      <c r="E71" s="144"/>
      <c r="F71" s="144"/>
      <c r="G71" s="144"/>
      <c r="H71" s="144"/>
      <c r="I71" s="144"/>
      <c r="J71" s="144"/>
      <c r="K71" s="144"/>
      <c r="M71" s="379" t="s">
        <v>486</v>
      </c>
    </row>
    <row r="72" spans="1:13" x14ac:dyDescent="0.2">
      <c r="A72" s="144"/>
      <c r="B72" s="65"/>
      <c r="C72" s="129"/>
      <c r="D72" s="129"/>
      <c r="E72" s="144"/>
      <c r="F72" s="144"/>
      <c r="G72" s="144"/>
      <c r="H72" s="144"/>
      <c r="I72" s="144"/>
      <c r="J72" s="144"/>
      <c r="K72" s="144"/>
      <c r="L72" s="144"/>
    </row>
    <row r="73" spans="1:13" x14ac:dyDescent="0.2">
      <c r="A73" s="63"/>
      <c r="B73" s="101" t="s">
        <v>487</v>
      </c>
      <c r="C73" s="129">
        <v>350.1</v>
      </c>
      <c r="D73" s="129">
        <v>350.2</v>
      </c>
      <c r="E73" s="129">
        <v>352</v>
      </c>
      <c r="F73" s="129">
        <v>353</v>
      </c>
      <c r="G73" s="129">
        <v>354</v>
      </c>
      <c r="H73" s="129">
        <v>355</v>
      </c>
      <c r="I73" s="129">
        <v>356</v>
      </c>
      <c r="J73" s="129">
        <v>357</v>
      </c>
      <c r="K73" s="129">
        <v>358</v>
      </c>
      <c r="L73" s="129">
        <v>359</v>
      </c>
      <c r="M73" s="64" t="s">
        <v>169</v>
      </c>
    </row>
    <row r="74" spans="1:13" x14ac:dyDescent="0.2">
      <c r="A74" s="60">
        <f>A63+1</f>
        <v>28</v>
      </c>
      <c r="B74" s="382" t="s">
        <v>489</v>
      </c>
      <c r="C74" s="160">
        <v>0</v>
      </c>
      <c r="D74" s="160">
        <v>17941872.98999998</v>
      </c>
      <c r="E74" s="174">
        <v>162999.30999994278</v>
      </c>
      <c r="F74" s="174">
        <v>2371924.7899999619</v>
      </c>
      <c r="G74" s="174">
        <v>66145732.539999962</v>
      </c>
      <c r="H74" s="174">
        <v>1870603.689999938</v>
      </c>
      <c r="I74" s="174">
        <v>36835863.539999962</v>
      </c>
      <c r="J74" s="174">
        <v>-66678.25</v>
      </c>
      <c r="K74" s="174">
        <v>3626045.0700000226</v>
      </c>
      <c r="L74" s="174">
        <v>6344008.4299999997</v>
      </c>
      <c r="M74" s="187">
        <f t="shared" ref="M74:M85" si="4">SUM(C74:L74)</f>
        <v>135232372.10999978</v>
      </c>
    </row>
    <row r="75" spans="1:13" x14ac:dyDescent="0.2">
      <c r="A75" s="60">
        <f t="shared" ref="A75:A86" si="5">A74+1</f>
        <v>29</v>
      </c>
      <c r="B75" s="385" t="s">
        <v>490</v>
      </c>
      <c r="C75" s="160">
        <v>0</v>
      </c>
      <c r="D75" s="160">
        <v>33673.360000014305</v>
      </c>
      <c r="E75" s="174">
        <v>1999455.3000000119</v>
      </c>
      <c r="F75" s="174">
        <v>26669407.130000114</v>
      </c>
      <c r="G75" s="174">
        <v>10395840.970000029</v>
      </c>
      <c r="H75" s="174">
        <v>105400.51999998093</v>
      </c>
      <c r="I75" s="174">
        <v>3882061.1499999762</v>
      </c>
      <c r="J75" s="174">
        <v>5446.7700000032783</v>
      </c>
      <c r="K75" s="174">
        <v>-18846.969999998808</v>
      </c>
      <c r="L75" s="174">
        <v>139875.3599999994</v>
      </c>
      <c r="M75" s="187">
        <f t="shared" si="4"/>
        <v>43212313.59000013</v>
      </c>
    </row>
    <row r="76" spans="1:13" x14ac:dyDescent="0.2">
      <c r="A76" s="60">
        <f t="shared" si="5"/>
        <v>30</v>
      </c>
      <c r="B76" s="385" t="s">
        <v>491</v>
      </c>
      <c r="C76" s="160">
        <v>-46342.75</v>
      </c>
      <c r="D76" s="160">
        <v>117450.31999999285</v>
      </c>
      <c r="E76" s="174">
        <v>-36872.27999997139</v>
      </c>
      <c r="F76" s="174">
        <v>17798337.529999733</v>
      </c>
      <c r="G76" s="174">
        <v>3022570.4300000668</v>
      </c>
      <c r="H76" s="174">
        <v>622049.93000006676</v>
      </c>
      <c r="I76" s="174">
        <v>1616823.6100000143</v>
      </c>
      <c r="J76" s="174">
        <v>23074.130000002682</v>
      </c>
      <c r="K76" s="174">
        <v>-443904.41000002623</v>
      </c>
      <c r="L76" s="174">
        <v>-117106.67000000179</v>
      </c>
      <c r="M76" s="187">
        <f t="shared" si="4"/>
        <v>22556079.839999877</v>
      </c>
    </row>
    <row r="77" spans="1:13" x14ac:dyDescent="0.2">
      <c r="A77" s="60">
        <f t="shared" si="5"/>
        <v>31</v>
      </c>
      <c r="B77" s="382" t="s">
        <v>531</v>
      </c>
      <c r="C77" s="160">
        <v>0</v>
      </c>
      <c r="D77" s="160">
        <v>29809.130000025034</v>
      </c>
      <c r="E77" s="174">
        <v>11803309.729999959</v>
      </c>
      <c r="F77" s="174">
        <v>44798668.900000095</v>
      </c>
      <c r="G77" s="174">
        <v>3975479.6299999952</v>
      </c>
      <c r="H77" s="174">
        <v>2208394.0099999905</v>
      </c>
      <c r="I77" s="174">
        <v>4151978.6700000763</v>
      </c>
      <c r="J77" s="174">
        <v>1333359.9799999967</v>
      </c>
      <c r="K77" s="174">
        <v>-1181684.8399999738</v>
      </c>
      <c r="L77" s="174">
        <v>586783.86000000685</v>
      </c>
      <c r="M77" s="187">
        <f t="shared" si="4"/>
        <v>67706099.070000172</v>
      </c>
    </row>
    <row r="78" spans="1:13" x14ac:dyDescent="0.2">
      <c r="A78" s="60">
        <f t="shared" si="5"/>
        <v>32</v>
      </c>
      <c r="B78" s="385" t="s">
        <v>493</v>
      </c>
      <c r="C78" s="160">
        <v>-548.10999999940395</v>
      </c>
      <c r="D78" s="160">
        <v>15595.5</v>
      </c>
      <c r="E78" s="174">
        <v>1516362.1299999952</v>
      </c>
      <c r="F78" s="174">
        <v>43653684.270000458</v>
      </c>
      <c r="G78" s="174">
        <v>146120939.84999979</v>
      </c>
      <c r="H78" s="174">
        <v>3994215.0699999332</v>
      </c>
      <c r="I78" s="174">
        <v>69119253.669999957</v>
      </c>
      <c r="J78" s="174">
        <v>1175972.8999999985</v>
      </c>
      <c r="K78" s="174">
        <v>-334100.41000002623</v>
      </c>
      <c r="L78" s="174">
        <v>3728582.5299999937</v>
      </c>
      <c r="M78" s="187">
        <f t="shared" si="4"/>
        <v>268989957.4000001</v>
      </c>
    </row>
    <row r="79" spans="1:13" x14ac:dyDescent="0.2">
      <c r="A79" s="60">
        <f t="shared" si="5"/>
        <v>33</v>
      </c>
      <c r="B79" s="385" t="s">
        <v>494</v>
      </c>
      <c r="C79" s="160">
        <v>13060.870000004768</v>
      </c>
      <c r="D79" s="160">
        <v>4731.3999999761581</v>
      </c>
      <c r="E79" s="174">
        <v>97099744.640000045</v>
      </c>
      <c r="F79" s="174">
        <v>262228427.93000031</v>
      </c>
      <c r="G79" s="174">
        <v>267580572.22000027</v>
      </c>
      <c r="H79" s="174">
        <v>48166982.580000043</v>
      </c>
      <c r="I79" s="174">
        <v>103549685.16999996</v>
      </c>
      <c r="J79" s="174">
        <v>2249550.8599999994</v>
      </c>
      <c r="K79" s="174">
        <v>4721136.8100000024</v>
      </c>
      <c r="L79" s="174">
        <v>19963766.459999986</v>
      </c>
      <c r="M79" s="187">
        <f t="shared" si="4"/>
        <v>805577658.94000077</v>
      </c>
    </row>
    <row r="80" spans="1:13" x14ac:dyDescent="0.2">
      <c r="A80" s="60">
        <f t="shared" si="5"/>
        <v>34</v>
      </c>
      <c r="B80" s="382" t="s">
        <v>495</v>
      </c>
      <c r="C80" s="160">
        <v>-67.219999998807907</v>
      </c>
      <c r="D80" s="160">
        <v>30819.819999992847</v>
      </c>
      <c r="E80" s="174">
        <v>10435430.439999998</v>
      </c>
      <c r="F80" s="174">
        <v>56328155.919999123</v>
      </c>
      <c r="G80" s="174">
        <v>5984889.9299998283</v>
      </c>
      <c r="H80" s="174">
        <v>11542737.399999976</v>
      </c>
      <c r="I80" s="174">
        <v>5087119.689999938</v>
      </c>
      <c r="J80" s="174">
        <v>710487.88000000268</v>
      </c>
      <c r="K80" s="174">
        <v>222664.05000001192</v>
      </c>
      <c r="L80" s="174">
        <v>378614.22000001371</v>
      </c>
      <c r="M80" s="187">
        <f t="shared" si="4"/>
        <v>90720852.129998878</v>
      </c>
    </row>
    <row r="81" spans="1:13" x14ac:dyDescent="0.2">
      <c r="A81" s="60">
        <f t="shared" si="5"/>
        <v>35</v>
      </c>
      <c r="B81" s="385" t="s">
        <v>496</v>
      </c>
      <c r="C81" s="160">
        <v>0</v>
      </c>
      <c r="D81" s="160">
        <v>4464100.7900000215</v>
      </c>
      <c r="E81" s="174">
        <v>14478285.480000079</v>
      </c>
      <c r="F81" s="174">
        <v>104065745.34999943</v>
      </c>
      <c r="G81" s="174">
        <v>-3263.4899997711182</v>
      </c>
      <c r="H81" s="174">
        <v>765466.17000007629</v>
      </c>
      <c r="I81" s="174">
        <v>-256937.00999987125</v>
      </c>
      <c r="J81" s="174">
        <v>505075.33999999613</v>
      </c>
      <c r="K81" s="174">
        <v>1927942.7400000095</v>
      </c>
      <c r="L81" s="174">
        <v>111730.66000001132</v>
      </c>
      <c r="M81" s="187">
        <f t="shared" si="4"/>
        <v>126058146.02999999</v>
      </c>
    </row>
    <row r="82" spans="1:13" x14ac:dyDescent="0.2">
      <c r="A82" s="60">
        <f t="shared" si="5"/>
        <v>36</v>
      </c>
      <c r="B82" s="385" t="s">
        <v>497</v>
      </c>
      <c r="C82" s="160">
        <v>-6560.8400000035763</v>
      </c>
      <c r="D82" s="160">
        <v>3335335.2899999917</v>
      </c>
      <c r="E82" s="174">
        <v>6721749.9199998379</v>
      </c>
      <c r="F82" s="174">
        <v>20574316.050000191</v>
      </c>
      <c r="G82" s="174">
        <v>189206216.47999978</v>
      </c>
      <c r="H82" s="174">
        <v>17321351.279999971</v>
      </c>
      <c r="I82" s="174">
        <v>30406890.759999871</v>
      </c>
      <c r="J82" s="174">
        <v>379371.80000000447</v>
      </c>
      <c r="K82" s="174">
        <v>-429774.27000001073</v>
      </c>
      <c r="L82" s="174">
        <v>2509991.0599999875</v>
      </c>
      <c r="M82" s="187">
        <f t="shared" si="4"/>
        <v>270018887.52999961</v>
      </c>
    </row>
    <row r="83" spans="1:13" x14ac:dyDescent="0.2">
      <c r="A83" s="60">
        <f t="shared" si="5"/>
        <v>37</v>
      </c>
      <c r="B83" s="382" t="s">
        <v>498</v>
      </c>
      <c r="C83" s="160">
        <v>0</v>
      </c>
      <c r="D83" s="160">
        <v>43930.979999989271</v>
      </c>
      <c r="E83" s="174">
        <v>6141260.870000124</v>
      </c>
      <c r="F83" s="174">
        <v>33759561.000000954</v>
      </c>
      <c r="G83" s="174">
        <v>19265207.569999933</v>
      </c>
      <c r="H83" s="174">
        <v>-1542513.7900000811</v>
      </c>
      <c r="I83" s="174">
        <v>10658860.860000014</v>
      </c>
      <c r="J83" s="174">
        <v>2951.6499999985099</v>
      </c>
      <c r="K83" s="174">
        <v>20457.310000002384</v>
      </c>
      <c r="L83" s="174">
        <v>1272076.4699999988</v>
      </c>
      <c r="M83" s="187">
        <f t="shared" si="4"/>
        <v>69621792.920000941</v>
      </c>
    </row>
    <row r="84" spans="1:13" x14ac:dyDescent="0.2">
      <c r="A84" s="60">
        <f t="shared" si="5"/>
        <v>38</v>
      </c>
      <c r="B84" s="382" t="s">
        <v>499</v>
      </c>
      <c r="C84" s="160">
        <v>0</v>
      </c>
      <c r="D84" s="160">
        <v>4183822.3899999857</v>
      </c>
      <c r="E84" s="174">
        <v>7013634.2599999905</v>
      </c>
      <c r="F84" s="174">
        <v>7311892.2500009537</v>
      </c>
      <c r="G84" s="174">
        <v>13130442.75</v>
      </c>
      <c r="H84" s="174">
        <v>4027180.1699999571</v>
      </c>
      <c r="I84" s="174">
        <v>2372026.5900001526</v>
      </c>
      <c r="J84" s="174">
        <v>1826.5200000032783</v>
      </c>
      <c r="K84" s="174">
        <v>363972.71000000834</v>
      </c>
      <c r="L84" s="174">
        <v>512709.29999999702</v>
      </c>
      <c r="M84" s="187">
        <f t="shared" si="4"/>
        <v>38917506.940001048</v>
      </c>
    </row>
    <row r="85" spans="1:13" x14ac:dyDescent="0.2">
      <c r="A85" s="60">
        <f t="shared" si="5"/>
        <v>39</v>
      </c>
      <c r="B85" s="385" t="s">
        <v>500</v>
      </c>
      <c r="C85" s="303">
        <v>-1210.6899999976158</v>
      </c>
      <c r="D85" s="303">
        <v>270747.28000003099</v>
      </c>
      <c r="E85" s="394">
        <v>28747342.199999869</v>
      </c>
      <c r="F85" s="394">
        <v>-1932501.810002327</v>
      </c>
      <c r="G85" s="394">
        <v>24144218.920000076</v>
      </c>
      <c r="H85" s="394">
        <v>6324321.6900001764</v>
      </c>
      <c r="I85" s="394">
        <v>13290138.079999924</v>
      </c>
      <c r="J85" s="394">
        <v>155.43999999761581</v>
      </c>
      <c r="K85" s="394">
        <v>10306144.929999977</v>
      </c>
      <c r="L85" s="394">
        <v>-1993256.4699999988</v>
      </c>
      <c r="M85" s="395">
        <f t="shared" si="4"/>
        <v>79156099.569997728</v>
      </c>
    </row>
    <row r="86" spans="1:13" x14ac:dyDescent="0.2">
      <c r="A86" s="60">
        <f t="shared" si="5"/>
        <v>40</v>
      </c>
      <c r="B86" s="393" t="s">
        <v>532</v>
      </c>
      <c r="C86" s="187">
        <f>SUM(C74:C85)</f>
        <v>-41668.739999994636</v>
      </c>
      <c r="D86" s="187">
        <f t="shared" ref="D86:L86" si="6">SUM(D74:D85)</f>
        <v>30471889.25</v>
      </c>
      <c r="E86" s="187">
        <f t="shared" si="6"/>
        <v>186082701.99999988</v>
      </c>
      <c r="F86" s="187">
        <f t="shared" si="6"/>
        <v>617627619.30999899</v>
      </c>
      <c r="G86" s="187">
        <f t="shared" si="6"/>
        <v>748968847.79999995</v>
      </c>
      <c r="H86" s="187">
        <f t="shared" si="6"/>
        <v>95406188.720000029</v>
      </c>
      <c r="I86" s="187">
        <f t="shared" si="6"/>
        <v>280713764.77999997</v>
      </c>
      <c r="J86" s="187">
        <f t="shared" si="6"/>
        <v>6320595.0200000033</v>
      </c>
      <c r="K86" s="187">
        <f t="shared" si="6"/>
        <v>18780052.719999999</v>
      </c>
      <c r="L86" s="187">
        <f t="shared" si="6"/>
        <v>33437775.209999993</v>
      </c>
      <c r="M86" s="187">
        <f>SUM(M74:M85)</f>
        <v>2017767766.0699992</v>
      </c>
    </row>
    <row r="88" spans="1:13" x14ac:dyDescent="0.2">
      <c r="B88" s="79" t="s">
        <v>533</v>
      </c>
      <c r="C88" s="57"/>
      <c r="D88" s="57"/>
      <c r="E88" s="57"/>
    </row>
    <row r="89" spans="1:13" x14ac:dyDescent="0.2">
      <c r="B89" s="57"/>
      <c r="C89" s="57"/>
      <c r="D89" s="57"/>
    </row>
    <row r="90" spans="1:13" x14ac:dyDescent="0.2">
      <c r="A90" s="375"/>
      <c r="B90" s="314" t="s">
        <v>167</v>
      </c>
      <c r="C90" s="314" t="s">
        <v>168</v>
      </c>
      <c r="D90" s="314" t="s">
        <v>184</v>
      </c>
      <c r="E90" s="129" t="s">
        <v>185</v>
      </c>
      <c r="F90" s="129" t="s">
        <v>186</v>
      </c>
      <c r="G90" s="129" t="s">
        <v>187</v>
      </c>
      <c r="H90" s="129" t="s">
        <v>188</v>
      </c>
      <c r="I90" s="129" t="s">
        <v>350</v>
      </c>
      <c r="J90" s="129" t="s">
        <v>404</v>
      </c>
      <c r="K90" s="129" t="s">
        <v>403</v>
      </c>
      <c r="L90" s="129" t="s">
        <v>402</v>
      </c>
      <c r="M90" s="129" t="s">
        <v>401</v>
      </c>
    </row>
    <row r="91" spans="1:13" x14ac:dyDescent="0.2">
      <c r="A91" s="144"/>
      <c r="B91" s="411"/>
      <c r="C91" s="142"/>
      <c r="D91" s="142"/>
      <c r="E91" s="144"/>
      <c r="F91" s="144"/>
      <c r="G91" s="144"/>
      <c r="H91" s="144"/>
      <c r="I91" s="144"/>
      <c r="J91" s="144"/>
      <c r="K91" s="144"/>
      <c r="M91" s="379" t="s">
        <v>486</v>
      </c>
    </row>
    <row r="92" spans="1:13" x14ac:dyDescent="0.2">
      <c r="A92" s="144"/>
      <c r="B92" s="65"/>
      <c r="C92" s="314"/>
      <c r="D92" s="314"/>
      <c r="E92" s="144"/>
      <c r="F92" s="144"/>
      <c r="G92" s="144"/>
      <c r="H92" s="144"/>
      <c r="I92" s="144"/>
      <c r="J92" s="144"/>
      <c r="K92" s="144"/>
      <c r="L92" s="144"/>
    </row>
    <row r="93" spans="1:13" ht="13.5" thickBot="1" x14ac:dyDescent="0.25">
      <c r="A93" s="63"/>
      <c r="B93" s="101" t="s">
        <v>487</v>
      </c>
      <c r="C93" s="412">
        <v>350.1</v>
      </c>
      <c r="D93" s="314">
        <v>350.2</v>
      </c>
      <c r="E93" s="129">
        <v>352</v>
      </c>
      <c r="F93" s="129">
        <v>353</v>
      </c>
      <c r="G93" s="129">
        <v>354</v>
      </c>
      <c r="H93" s="129">
        <v>355</v>
      </c>
      <c r="I93" s="129">
        <v>356</v>
      </c>
      <c r="J93" s="129">
        <v>357</v>
      </c>
      <c r="K93" s="129">
        <v>358</v>
      </c>
      <c r="L93" s="129">
        <v>359</v>
      </c>
      <c r="M93" s="64" t="s">
        <v>169</v>
      </c>
    </row>
    <row r="94" spans="1:13" ht="13.5" thickBot="1" x14ac:dyDescent="0.25">
      <c r="A94" s="60">
        <f>A86+1</f>
        <v>41</v>
      </c>
      <c r="B94" s="413" t="s">
        <v>489</v>
      </c>
      <c r="C94" s="414">
        <v>0</v>
      </c>
      <c r="D94" s="160">
        <v>17925848.719999999</v>
      </c>
      <c r="E94" s="174">
        <v>-350721.00999999046</v>
      </c>
      <c r="F94" s="415">
        <v>1795771.3999999762</v>
      </c>
      <c r="G94" s="174">
        <v>66140112.230000019</v>
      </c>
      <c r="H94" s="174">
        <v>-22136.25</v>
      </c>
      <c r="I94" s="174">
        <v>36615008.250000015</v>
      </c>
      <c r="J94" s="174">
        <v>0</v>
      </c>
      <c r="K94" s="174">
        <v>0</v>
      </c>
      <c r="L94" s="174">
        <v>6344008.4299999997</v>
      </c>
      <c r="M94" s="187">
        <f t="shared" ref="M94:M105" si="7">SUM(C94:L94)</f>
        <v>128447891.77000001</v>
      </c>
    </row>
    <row r="95" spans="1:13" x14ac:dyDescent="0.2">
      <c r="A95" s="60">
        <f t="shared" ref="A95:A106" si="8">A94+1</f>
        <v>42</v>
      </c>
      <c r="B95" s="389" t="s">
        <v>490</v>
      </c>
      <c r="C95" s="414">
        <v>0</v>
      </c>
      <c r="D95" s="160">
        <v>28230.320000000298</v>
      </c>
      <c r="E95" s="416">
        <v>633135.84999999404</v>
      </c>
      <c r="F95" s="417">
        <v>6452572.9700000286</v>
      </c>
      <c r="G95" s="174">
        <v>10399128.550000012</v>
      </c>
      <c r="H95" s="174">
        <v>0</v>
      </c>
      <c r="I95" s="174">
        <v>3401510.6599999964</v>
      </c>
      <c r="J95" s="174">
        <v>0</v>
      </c>
      <c r="K95" s="174">
        <v>0</v>
      </c>
      <c r="L95" s="174">
        <v>139875.3599999994</v>
      </c>
      <c r="M95" s="384">
        <f t="shared" si="7"/>
        <v>21054453.710000031</v>
      </c>
    </row>
    <row r="96" spans="1:13" x14ac:dyDescent="0.2">
      <c r="A96" s="60">
        <f t="shared" si="8"/>
        <v>43</v>
      </c>
      <c r="B96" s="389" t="s">
        <v>491</v>
      </c>
      <c r="C96" s="414">
        <v>0</v>
      </c>
      <c r="D96" s="160">
        <v>114523.64999999851</v>
      </c>
      <c r="E96" s="416">
        <v>-191334.90999999642</v>
      </c>
      <c r="F96" s="416">
        <v>8684825.7500001192</v>
      </c>
      <c r="G96" s="174">
        <v>2444943.7300000191</v>
      </c>
      <c r="H96" s="174">
        <v>0</v>
      </c>
      <c r="I96" s="174">
        <v>213903.25</v>
      </c>
      <c r="J96" s="174">
        <v>0</v>
      </c>
      <c r="K96" s="174">
        <v>0</v>
      </c>
      <c r="L96" s="174">
        <v>-79110.730000000447</v>
      </c>
      <c r="M96" s="384">
        <f t="shared" si="7"/>
        <v>11187750.74000014</v>
      </c>
    </row>
    <row r="97" spans="1:13" x14ac:dyDescent="0.2">
      <c r="A97" s="60">
        <f t="shared" si="8"/>
        <v>44</v>
      </c>
      <c r="B97" s="413" t="s">
        <v>531</v>
      </c>
      <c r="C97" s="414">
        <v>0</v>
      </c>
      <c r="D97" s="160">
        <v>-4168.3800000026822</v>
      </c>
      <c r="E97" s="416">
        <v>322223.25</v>
      </c>
      <c r="F97" s="418">
        <v>1644590.189999938</v>
      </c>
      <c r="G97" s="174">
        <v>3967081.5299999714</v>
      </c>
      <c r="H97" s="174">
        <v>0</v>
      </c>
      <c r="I97" s="174">
        <v>2156044.25</v>
      </c>
      <c r="J97" s="174">
        <v>0</v>
      </c>
      <c r="K97" s="174">
        <v>0</v>
      </c>
      <c r="L97" s="174">
        <v>599749.26000000164</v>
      </c>
      <c r="M97" s="384">
        <f t="shared" si="7"/>
        <v>8685520.0999999084</v>
      </c>
    </row>
    <row r="98" spans="1:13" x14ac:dyDescent="0.2">
      <c r="A98" s="60">
        <f t="shared" si="8"/>
        <v>45</v>
      </c>
      <c r="B98" s="389" t="s">
        <v>493</v>
      </c>
      <c r="C98" s="414">
        <v>0</v>
      </c>
      <c r="D98" s="160">
        <v>15595.5</v>
      </c>
      <c r="E98" s="416">
        <v>-270703.25</v>
      </c>
      <c r="F98" s="416">
        <v>817817.65000009537</v>
      </c>
      <c r="G98" s="174">
        <v>146124996.72000003</v>
      </c>
      <c r="H98" s="174">
        <v>0</v>
      </c>
      <c r="I98" s="174">
        <v>68280070.849999994</v>
      </c>
      <c r="J98" s="174">
        <v>0</v>
      </c>
      <c r="K98" s="174">
        <v>0</v>
      </c>
      <c r="L98" s="174">
        <v>3728582.0700000003</v>
      </c>
      <c r="M98" s="384">
        <f t="shared" si="7"/>
        <v>218696359.54000011</v>
      </c>
    </row>
    <row r="99" spans="1:13" x14ac:dyDescent="0.2">
      <c r="A99" s="60">
        <f t="shared" si="8"/>
        <v>46</v>
      </c>
      <c r="B99" s="389" t="s">
        <v>494</v>
      </c>
      <c r="C99" s="414">
        <v>0</v>
      </c>
      <c r="D99" s="160">
        <v>13254.619999997318</v>
      </c>
      <c r="E99" s="416">
        <v>95510202.970000014</v>
      </c>
      <c r="F99" s="418">
        <v>241970439.8499999</v>
      </c>
      <c r="G99" s="174">
        <v>253872221.25999987</v>
      </c>
      <c r="H99" s="174">
        <v>904244.71999999881</v>
      </c>
      <c r="I99" s="174">
        <v>93973025.190000027</v>
      </c>
      <c r="J99" s="174">
        <v>0</v>
      </c>
      <c r="K99" s="174">
        <v>0</v>
      </c>
      <c r="L99" s="174">
        <v>15735521.609999999</v>
      </c>
      <c r="M99" s="384">
        <f t="shared" si="7"/>
        <v>701978910.21999991</v>
      </c>
    </row>
    <row r="100" spans="1:13" ht="13.5" thickBot="1" x14ac:dyDescent="0.25">
      <c r="A100" s="60">
        <f t="shared" si="8"/>
        <v>47</v>
      </c>
      <c r="B100" s="413" t="s">
        <v>495</v>
      </c>
      <c r="C100" s="414">
        <v>0</v>
      </c>
      <c r="D100" s="419">
        <v>-55.119999997317791</v>
      </c>
      <c r="E100" s="416">
        <v>10105529.089999974</v>
      </c>
      <c r="F100" s="420">
        <v>48096453.330000162</v>
      </c>
      <c r="G100" s="174">
        <v>5305387.1400001049</v>
      </c>
      <c r="H100" s="174">
        <v>-300.69999999552965</v>
      </c>
      <c r="I100" s="174">
        <v>2344424.2099999785</v>
      </c>
      <c r="J100" s="174">
        <v>0</v>
      </c>
      <c r="K100" s="174">
        <v>0</v>
      </c>
      <c r="L100" s="174">
        <v>313361.63000000268</v>
      </c>
      <c r="M100" s="384">
        <f t="shared" si="7"/>
        <v>66164799.580000229</v>
      </c>
    </row>
    <row r="101" spans="1:13" x14ac:dyDescent="0.2">
      <c r="A101" s="60">
        <f t="shared" si="8"/>
        <v>48</v>
      </c>
      <c r="B101" s="389" t="s">
        <v>496</v>
      </c>
      <c r="C101" s="414">
        <v>0</v>
      </c>
      <c r="D101" s="421">
        <v>3318456.549999997</v>
      </c>
      <c r="E101" s="174">
        <v>12852849.958224267</v>
      </c>
      <c r="F101" s="174">
        <v>73934245.072775602</v>
      </c>
      <c r="G101" s="174">
        <v>1098998.1100000143</v>
      </c>
      <c r="H101" s="174">
        <v>5127.859999999404</v>
      </c>
      <c r="I101" s="174">
        <v>421182.75999999046</v>
      </c>
      <c r="J101" s="174">
        <v>0</v>
      </c>
      <c r="K101" s="174">
        <v>0</v>
      </c>
      <c r="L101" s="174">
        <v>167647.00999999791</v>
      </c>
      <c r="M101" s="187">
        <f t="shared" si="7"/>
        <v>91798507.320999861</v>
      </c>
    </row>
    <row r="102" spans="1:13" x14ac:dyDescent="0.2">
      <c r="A102" s="60">
        <f t="shared" si="8"/>
        <v>49</v>
      </c>
      <c r="B102" s="389" t="s">
        <v>497</v>
      </c>
      <c r="C102" s="414">
        <v>0</v>
      </c>
      <c r="D102" s="414">
        <v>3338726.8200000003</v>
      </c>
      <c r="E102" s="174">
        <v>3358978.9300000072</v>
      </c>
      <c r="F102" s="174">
        <v>9400273.7100000381</v>
      </c>
      <c r="G102" s="174">
        <v>186612695.94999993</v>
      </c>
      <c r="H102" s="174">
        <v>0</v>
      </c>
      <c r="I102" s="174">
        <v>42887551.620000064</v>
      </c>
      <c r="J102" s="174">
        <v>0</v>
      </c>
      <c r="K102" s="174">
        <v>0</v>
      </c>
      <c r="L102" s="174">
        <v>2504027.3000000045</v>
      </c>
      <c r="M102" s="384">
        <f t="shared" si="7"/>
        <v>248102254.33000004</v>
      </c>
    </row>
    <row r="103" spans="1:13" ht="13.5" thickBot="1" x14ac:dyDescent="0.25">
      <c r="A103" s="60">
        <f t="shared" si="8"/>
        <v>50</v>
      </c>
      <c r="B103" s="413" t="s">
        <v>498</v>
      </c>
      <c r="C103" s="414">
        <v>0</v>
      </c>
      <c r="D103" s="422">
        <v>32344.060000002384</v>
      </c>
      <c r="E103" s="174">
        <v>562858.21999999881</v>
      </c>
      <c r="F103" s="415">
        <v>1232972.5099999905</v>
      </c>
      <c r="G103" s="174">
        <v>15826597.000000238</v>
      </c>
      <c r="H103" s="174">
        <v>4082.429999999702</v>
      </c>
      <c r="I103" s="174">
        <v>7412497.3799999952</v>
      </c>
      <c r="J103" s="174">
        <v>0</v>
      </c>
      <c r="K103" s="174">
        <v>0</v>
      </c>
      <c r="L103" s="174">
        <v>600902.9299999997</v>
      </c>
      <c r="M103" s="184">
        <f t="shared" si="7"/>
        <v>25672254.530000225</v>
      </c>
    </row>
    <row r="104" spans="1:13" x14ac:dyDescent="0.2">
      <c r="A104" s="60">
        <f t="shared" si="8"/>
        <v>51</v>
      </c>
      <c r="B104" s="413" t="s">
        <v>499</v>
      </c>
      <c r="C104" s="414">
        <v>0</v>
      </c>
      <c r="D104" s="160">
        <v>4172601.5600000024</v>
      </c>
      <c r="E104" s="416">
        <v>663488.95999997854</v>
      </c>
      <c r="F104" s="423">
        <v>1443701.2699998617</v>
      </c>
      <c r="G104" s="174">
        <v>12875895.819999933</v>
      </c>
      <c r="H104" s="174">
        <v>1637.5</v>
      </c>
      <c r="I104" s="174">
        <v>3280682.3700000048</v>
      </c>
      <c r="J104" s="174">
        <v>0</v>
      </c>
      <c r="K104" s="174">
        <v>0</v>
      </c>
      <c r="L104" s="174">
        <v>218855.72999999672</v>
      </c>
      <c r="M104" s="384">
        <f t="shared" si="7"/>
        <v>22656863.209999777</v>
      </c>
    </row>
    <row r="105" spans="1:13" ht="13.5" thickBot="1" x14ac:dyDescent="0.25">
      <c r="A105" s="60">
        <f t="shared" si="8"/>
        <v>52</v>
      </c>
      <c r="B105" s="389" t="s">
        <v>500</v>
      </c>
      <c r="C105" s="424">
        <v>0</v>
      </c>
      <c r="D105" s="303">
        <v>173265.07999999821</v>
      </c>
      <c r="E105" s="425">
        <v>25820757.649999976</v>
      </c>
      <c r="F105" s="426">
        <v>25751324.419999838</v>
      </c>
      <c r="G105" s="394">
        <v>4456534.9800000191</v>
      </c>
      <c r="H105" s="394">
        <v>1062.890000000596</v>
      </c>
      <c r="I105" s="394">
        <v>12910364.689999938</v>
      </c>
      <c r="J105" s="394">
        <v>0</v>
      </c>
      <c r="K105" s="394">
        <v>0</v>
      </c>
      <c r="L105" s="394">
        <v>-1982559.4499999955</v>
      </c>
      <c r="M105" s="427">
        <f t="shared" si="7"/>
        <v>67130750.259999782</v>
      </c>
    </row>
    <row r="106" spans="1:13" x14ac:dyDescent="0.2">
      <c r="A106" s="60">
        <f t="shared" si="8"/>
        <v>53</v>
      </c>
      <c r="B106" s="393" t="s">
        <v>532</v>
      </c>
      <c r="C106" s="384">
        <f>SUM(C94:C105)</f>
        <v>0</v>
      </c>
      <c r="D106" s="384">
        <f t="shared" ref="D106:L106" si="9">SUM(D94:D105)</f>
        <v>29128623.379999995</v>
      </c>
      <c r="E106" s="187">
        <f t="shared" si="9"/>
        <v>149017265.70822424</v>
      </c>
      <c r="F106" s="384">
        <f t="shared" si="9"/>
        <v>421224988.12277555</v>
      </c>
      <c r="G106" s="187">
        <f t="shared" si="9"/>
        <v>709124593.02000022</v>
      </c>
      <c r="H106" s="187">
        <f t="shared" si="9"/>
        <v>893718.45000000298</v>
      </c>
      <c r="I106" s="187">
        <f t="shared" si="9"/>
        <v>273896265.48000002</v>
      </c>
      <c r="J106" s="187">
        <f t="shared" si="9"/>
        <v>0</v>
      </c>
      <c r="K106" s="187">
        <f t="shared" si="9"/>
        <v>0</v>
      </c>
      <c r="L106" s="187">
        <f t="shared" si="9"/>
        <v>28290861.150000006</v>
      </c>
      <c r="M106" s="384">
        <f>SUM(M94:M105)</f>
        <v>1611576315.3110001</v>
      </c>
    </row>
    <row r="108" spans="1:13" x14ac:dyDescent="0.2">
      <c r="B108" s="79" t="s">
        <v>534</v>
      </c>
      <c r="C108" s="57"/>
      <c r="D108" s="57"/>
      <c r="E108" s="57"/>
      <c r="F108" s="57"/>
      <c r="G108" s="57"/>
    </row>
    <row r="109" spans="1:13" x14ac:dyDescent="0.2">
      <c r="B109" s="57"/>
      <c r="C109" s="57"/>
      <c r="D109" s="57"/>
      <c r="E109" s="57"/>
      <c r="F109" s="57"/>
      <c r="G109" s="57"/>
    </row>
    <row r="110" spans="1:13" x14ac:dyDescent="0.2">
      <c r="A110" s="375"/>
      <c r="B110" s="314" t="s">
        <v>167</v>
      </c>
      <c r="C110" s="314" t="s">
        <v>168</v>
      </c>
      <c r="D110" s="314" t="s">
        <v>184</v>
      </c>
      <c r="E110" s="314" t="s">
        <v>185</v>
      </c>
      <c r="F110" s="314" t="s">
        <v>186</v>
      </c>
      <c r="G110" s="314" t="s">
        <v>187</v>
      </c>
      <c r="H110" s="129" t="s">
        <v>188</v>
      </c>
      <c r="I110" s="129" t="s">
        <v>350</v>
      </c>
      <c r="J110" s="129" t="s">
        <v>404</v>
      </c>
      <c r="K110" s="129" t="s">
        <v>403</v>
      </c>
      <c r="L110" s="129" t="s">
        <v>402</v>
      </c>
      <c r="M110" s="129" t="s">
        <v>401</v>
      </c>
    </row>
    <row r="111" spans="1:13" x14ac:dyDescent="0.2">
      <c r="A111" s="144"/>
      <c r="B111" s="411"/>
      <c r="C111" s="142"/>
      <c r="D111" s="142"/>
      <c r="E111" s="142"/>
      <c r="F111" s="142"/>
      <c r="G111" s="142"/>
      <c r="H111" s="144"/>
      <c r="I111" s="144"/>
      <c r="J111" s="144"/>
      <c r="K111" s="144"/>
      <c r="M111" s="379" t="s">
        <v>486</v>
      </c>
    </row>
    <row r="112" spans="1:13" x14ac:dyDescent="0.2">
      <c r="A112" s="144"/>
      <c r="B112" s="65"/>
      <c r="C112" s="314"/>
      <c r="D112" s="314"/>
      <c r="E112" s="142"/>
      <c r="F112" s="142"/>
      <c r="G112" s="142"/>
      <c r="H112" s="144"/>
      <c r="I112" s="144"/>
      <c r="J112" s="144"/>
      <c r="K112" s="144"/>
      <c r="L112" s="144"/>
    </row>
    <row r="113" spans="1:13" x14ac:dyDescent="0.2">
      <c r="A113" s="63"/>
      <c r="B113" s="101" t="s">
        <v>487</v>
      </c>
      <c r="C113" s="314">
        <v>350.1</v>
      </c>
      <c r="D113" s="314">
        <v>350.2</v>
      </c>
      <c r="E113" s="314">
        <v>352</v>
      </c>
      <c r="F113" s="314">
        <v>353</v>
      </c>
      <c r="G113" s="314">
        <v>354</v>
      </c>
      <c r="H113" s="129">
        <v>355</v>
      </c>
      <c r="I113" s="129">
        <v>356</v>
      </c>
      <c r="J113" s="129">
        <v>357</v>
      </c>
      <c r="K113" s="129">
        <v>358</v>
      </c>
      <c r="L113" s="129">
        <v>359</v>
      </c>
      <c r="M113" s="64" t="s">
        <v>169</v>
      </c>
    </row>
    <row r="114" spans="1:13" x14ac:dyDescent="0.2">
      <c r="A114" s="60">
        <f>A106+1</f>
        <v>54</v>
      </c>
      <c r="B114" s="382" t="s">
        <v>489</v>
      </c>
      <c r="C114" s="152">
        <f t="shared" ref="C114:L125" si="10">C74-C94</f>
        <v>0</v>
      </c>
      <c r="D114" s="152">
        <f t="shared" si="10"/>
        <v>16024.269999980927</v>
      </c>
      <c r="E114" s="152">
        <f t="shared" si="10"/>
        <v>513720.31999993324</v>
      </c>
      <c r="F114" s="152">
        <f t="shared" si="10"/>
        <v>576153.38999998569</v>
      </c>
      <c r="G114" s="152">
        <f t="shared" si="10"/>
        <v>5620.3099999427795</v>
      </c>
      <c r="H114" s="152">
        <f t="shared" si="10"/>
        <v>1892739.939999938</v>
      </c>
      <c r="I114" s="152">
        <f t="shared" si="10"/>
        <v>220855.28999994695</v>
      </c>
      <c r="J114" s="152">
        <f t="shared" si="10"/>
        <v>-66678.25</v>
      </c>
      <c r="K114" s="152">
        <f t="shared" si="10"/>
        <v>3626045.0700000226</v>
      </c>
      <c r="L114" s="152">
        <f t="shared" si="10"/>
        <v>0</v>
      </c>
      <c r="M114" s="187">
        <f t="shared" ref="M114:M125" si="11">SUM(C114:L114)</f>
        <v>6784480.3399997503</v>
      </c>
    </row>
    <row r="115" spans="1:13" x14ac:dyDescent="0.2">
      <c r="A115" s="60">
        <f t="shared" ref="A115:A126" si="12">A114+1</f>
        <v>55</v>
      </c>
      <c r="B115" s="385" t="s">
        <v>490</v>
      </c>
      <c r="C115" s="152">
        <f t="shared" si="10"/>
        <v>0</v>
      </c>
      <c r="D115" s="152">
        <f t="shared" si="10"/>
        <v>5443.0400000140071</v>
      </c>
      <c r="E115" s="152">
        <f t="shared" si="10"/>
        <v>1366319.4500000179</v>
      </c>
      <c r="F115" s="274">
        <f t="shared" si="10"/>
        <v>20216834.160000086</v>
      </c>
      <c r="G115" s="152">
        <f t="shared" si="10"/>
        <v>-3287.5799999833107</v>
      </c>
      <c r="H115" s="152">
        <f t="shared" si="10"/>
        <v>105400.51999998093</v>
      </c>
      <c r="I115" s="152">
        <f t="shared" si="10"/>
        <v>480550.48999997973</v>
      </c>
      <c r="J115" s="152">
        <f t="shared" si="10"/>
        <v>5446.7700000032783</v>
      </c>
      <c r="K115" s="152">
        <f t="shared" si="10"/>
        <v>-18846.969999998808</v>
      </c>
      <c r="L115" s="152">
        <f t="shared" si="10"/>
        <v>0</v>
      </c>
      <c r="M115" s="384">
        <f t="shared" si="11"/>
        <v>22157859.8800001</v>
      </c>
    </row>
    <row r="116" spans="1:13" x14ac:dyDescent="0.2">
      <c r="A116" s="60">
        <f t="shared" si="12"/>
        <v>56</v>
      </c>
      <c r="B116" s="385" t="s">
        <v>491</v>
      </c>
      <c r="C116" s="152">
        <f t="shared" si="10"/>
        <v>-46342.75</v>
      </c>
      <c r="D116" s="152">
        <f t="shared" si="10"/>
        <v>2926.6699999943376</v>
      </c>
      <c r="E116" s="152">
        <f t="shared" si="10"/>
        <v>154462.63000002503</v>
      </c>
      <c r="F116" s="274">
        <f t="shared" si="10"/>
        <v>9113511.7799996138</v>
      </c>
      <c r="G116" s="152">
        <f t="shared" si="10"/>
        <v>577626.70000004768</v>
      </c>
      <c r="H116" s="152">
        <f t="shared" si="10"/>
        <v>622049.93000006676</v>
      </c>
      <c r="I116" s="152">
        <f t="shared" si="10"/>
        <v>1402920.3600000143</v>
      </c>
      <c r="J116" s="152">
        <f t="shared" si="10"/>
        <v>23074.130000002682</v>
      </c>
      <c r="K116" s="152">
        <f t="shared" si="10"/>
        <v>-443904.41000002623</v>
      </c>
      <c r="L116" s="152">
        <f t="shared" si="10"/>
        <v>-37995.940000001341</v>
      </c>
      <c r="M116" s="384">
        <f t="shared" si="11"/>
        <v>11368329.099999737</v>
      </c>
    </row>
    <row r="117" spans="1:13" x14ac:dyDescent="0.2">
      <c r="A117" s="60">
        <f t="shared" si="12"/>
        <v>57</v>
      </c>
      <c r="B117" s="382" t="s">
        <v>531</v>
      </c>
      <c r="C117" s="152">
        <f t="shared" si="10"/>
        <v>0</v>
      </c>
      <c r="D117" s="152">
        <f t="shared" si="10"/>
        <v>33977.510000027716</v>
      </c>
      <c r="E117" s="152">
        <f t="shared" si="10"/>
        <v>11481086.479999959</v>
      </c>
      <c r="F117" s="274">
        <f t="shared" si="10"/>
        <v>43154078.710000157</v>
      </c>
      <c r="G117" s="152">
        <f t="shared" si="10"/>
        <v>8398.1000000238419</v>
      </c>
      <c r="H117" s="152">
        <f t="shared" si="10"/>
        <v>2208394.0099999905</v>
      </c>
      <c r="I117" s="152">
        <f t="shared" si="10"/>
        <v>1995934.4200000763</v>
      </c>
      <c r="J117" s="152">
        <f t="shared" si="10"/>
        <v>1333359.9799999967</v>
      </c>
      <c r="K117" s="152">
        <f t="shared" si="10"/>
        <v>-1181684.8399999738</v>
      </c>
      <c r="L117" s="152">
        <f t="shared" si="10"/>
        <v>-12965.399999994785</v>
      </c>
      <c r="M117" s="384">
        <f t="shared" si="11"/>
        <v>59020578.970000267</v>
      </c>
    </row>
    <row r="118" spans="1:13" x14ac:dyDescent="0.2">
      <c r="A118" s="60">
        <f t="shared" si="12"/>
        <v>58</v>
      </c>
      <c r="B118" s="385" t="s">
        <v>493</v>
      </c>
      <c r="C118" s="152">
        <f t="shared" si="10"/>
        <v>-548.10999999940395</v>
      </c>
      <c r="D118" s="152">
        <f t="shared" si="10"/>
        <v>0</v>
      </c>
      <c r="E118" s="152">
        <f t="shared" si="10"/>
        <v>1787065.3799999952</v>
      </c>
      <c r="F118" s="274">
        <f t="shared" si="10"/>
        <v>42835866.620000362</v>
      </c>
      <c r="G118" s="152">
        <f t="shared" si="10"/>
        <v>-4056.870000243187</v>
      </c>
      <c r="H118" s="152">
        <f t="shared" si="10"/>
        <v>3994215.0699999332</v>
      </c>
      <c r="I118" s="152">
        <f t="shared" si="10"/>
        <v>839182.81999996305</v>
      </c>
      <c r="J118" s="152">
        <f t="shared" si="10"/>
        <v>1175972.8999999985</v>
      </c>
      <c r="K118" s="152">
        <f t="shared" si="10"/>
        <v>-334100.41000002623</v>
      </c>
      <c r="L118" s="152">
        <f t="shared" si="10"/>
        <v>0.45999999344348907</v>
      </c>
      <c r="M118" s="384">
        <f t="shared" si="11"/>
        <v>50293597.859999977</v>
      </c>
    </row>
    <row r="119" spans="1:13" x14ac:dyDescent="0.2">
      <c r="A119" s="60">
        <f t="shared" si="12"/>
        <v>59</v>
      </c>
      <c r="B119" s="385" t="s">
        <v>494</v>
      </c>
      <c r="C119" s="152">
        <f t="shared" si="10"/>
        <v>13060.870000004768</v>
      </c>
      <c r="D119" s="152">
        <f t="shared" si="10"/>
        <v>-8523.2200000211596</v>
      </c>
      <c r="E119" s="152">
        <f t="shared" si="10"/>
        <v>1589541.6700000316</v>
      </c>
      <c r="F119" s="274">
        <f t="shared" si="10"/>
        <v>20257988.080000401</v>
      </c>
      <c r="G119" s="152">
        <f t="shared" si="10"/>
        <v>13708350.960000396</v>
      </c>
      <c r="H119" s="152">
        <f t="shared" si="10"/>
        <v>47262737.860000044</v>
      </c>
      <c r="I119" s="152">
        <f t="shared" si="10"/>
        <v>9576659.9799999297</v>
      </c>
      <c r="J119" s="152">
        <f t="shared" si="10"/>
        <v>2249550.8599999994</v>
      </c>
      <c r="K119" s="152">
        <f t="shared" si="10"/>
        <v>4721136.8100000024</v>
      </c>
      <c r="L119" s="152">
        <f t="shared" si="10"/>
        <v>4228244.8499999866</v>
      </c>
      <c r="M119" s="384">
        <f t="shared" si="11"/>
        <v>103598748.72000077</v>
      </c>
    </row>
    <row r="120" spans="1:13" x14ac:dyDescent="0.2">
      <c r="A120" s="60">
        <f t="shared" si="12"/>
        <v>60</v>
      </c>
      <c r="B120" s="382" t="s">
        <v>495</v>
      </c>
      <c r="C120" s="152">
        <f t="shared" si="10"/>
        <v>-67.219999998807907</v>
      </c>
      <c r="D120" s="152">
        <f t="shared" si="10"/>
        <v>30874.939999990165</v>
      </c>
      <c r="E120" s="152">
        <f t="shared" si="10"/>
        <v>329901.35000002384</v>
      </c>
      <c r="F120" s="274">
        <f t="shared" si="10"/>
        <v>8231702.5899989605</v>
      </c>
      <c r="G120" s="152">
        <f t="shared" si="10"/>
        <v>679502.78999972343</v>
      </c>
      <c r="H120" s="152">
        <f t="shared" si="10"/>
        <v>11543038.099999972</v>
      </c>
      <c r="I120" s="152">
        <f t="shared" si="10"/>
        <v>2742695.4799999595</v>
      </c>
      <c r="J120" s="152">
        <f t="shared" si="10"/>
        <v>710487.88000000268</v>
      </c>
      <c r="K120" s="152">
        <f t="shared" si="10"/>
        <v>222664.05000001192</v>
      </c>
      <c r="L120" s="152">
        <f t="shared" si="10"/>
        <v>65252.590000011027</v>
      </c>
      <c r="M120" s="384">
        <f t="shared" si="11"/>
        <v>24556052.549998656</v>
      </c>
    </row>
    <row r="121" spans="1:13" x14ac:dyDescent="0.2">
      <c r="A121" s="60">
        <f t="shared" si="12"/>
        <v>61</v>
      </c>
      <c r="B121" s="385" t="s">
        <v>496</v>
      </c>
      <c r="C121" s="274">
        <f t="shared" si="10"/>
        <v>0</v>
      </c>
      <c r="D121" s="274">
        <f t="shared" si="10"/>
        <v>1145644.2400000244</v>
      </c>
      <c r="E121" s="152">
        <f t="shared" si="10"/>
        <v>1625435.5217758119</v>
      </c>
      <c r="F121" s="152">
        <f t="shared" si="10"/>
        <v>30131500.277223825</v>
      </c>
      <c r="G121" s="152">
        <f t="shared" si="10"/>
        <v>-1102261.5999997854</v>
      </c>
      <c r="H121" s="152">
        <f t="shared" si="10"/>
        <v>760338.31000007689</v>
      </c>
      <c r="I121" s="152">
        <f t="shared" si="10"/>
        <v>-678119.76999986172</v>
      </c>
      <c r="J121" s="152">
        <f t="shared" si="10"/>
        <v>505075.33999999613</v>
      </c>
      <c r="K121" s="152">
        <f t="shared" si="10"/>
        <v>1927942.7400000095</v>
      </c>
      <c r="L121" s="152">
        <f t="shared" si="10"/>
        <v>-55916.349999986589</v>
      </c>
      <c r="M121" s="384">
        <f t="shared" si="11"/>
        <v>34259638.709000111</v>
      </c>
    </row>
    <row r="122" spans="1:13" x14ac:dyDescent="0.2">
      <c r="A122" s="60">
        <f t="shared" si="12"/>
        <v>62</v>
      </c>
      <c r="B122" s="385" t="s">
        <v>497</v>
      </c>
      <c r="C122" s="274">
        <f t="shared" si="10"/>
        <v>-6560.8400000035763</v>
      </c>
      <c r="D122" s="274">
        <f t="shared" si="10"/>
        <v>-3391.5300000086427</v>
      </c>
      <c r="E122" s="152">
        <f t="shared" si="10"/>
        <v>3362770.9899998307</v>
      </c>
      <c r="F122" s="274">
        <f t="shared" si="10"/>
        <v>11174042.340000153</v>
      </c>
      <c r="G122" s="152">
        <f t="shared" si="10"/>
        <v>2593520.5299998522</v>
      </c>
      <c r="H122" s="152">
        <f t="shared" si="10"/>
        <v>17321351.279999971</v>
      </c>
      <c r="I122" s="152">
        <f t="shared" si="10"/>
        <v>-12480660.860000193</v>
      </c>
      <c r="J122" s="152">
        <f t="shared" si="10"/>
        <v>379371.80000000447</v>
      </c>
      <c r="K122" s="152">
        <f t="shared" si="10"/>
        <v>-429774.27000001073</v>
      </c>
      <c r="L122" s="152">
        <f t="shared" si="10"/>
        <v>5963.7599999830127</v>
      </c>
      <c r="M122" s="384">
        <f t="shared" si="11"/>
        <v>21916633.199999578</v>
      </c>
    </row>
    <row r="123" spans="1:13" x14ac:dyDescent="0.2">
      <c r="A123" s="60">
        <f t="shared" si="12"/>
        <v>63</v>
      </c>
      <c r="B123" s="382" t="s">
        <v>498</v>
      </c>
      <c r="C123" s="274">
        <f t="shared" si="10"/>
        <v>0</v>
      </c>
      <c r="D123" s="274">
        <f t="shared" si="10"/>
        <v>11586.919999986887</v>
      </c>
      <c r="E123" s="152">
        <f t="shared" si="10"/>
        <v>5578402.6500001252</v>
      </c>
      <c r="F123" s="152">
        <f t="shared" si="10"/>
        <v>32526588.490000963</v>
      </c>
      <c r="G123" s="152">
        <f t="shared" si="10"/>
        <v>3438610.5699996948</v>
      </c>
      <c r="H123" s="152">
        <f t="shared" si="10"/>
        <v>-1546596.2200000808</v>
      </c>
      <c r="I123" s="152">
        <f t="shared" si="10"/>
        <v>3246363.4800000191</v>
      </c>
      <c r="J123" s="152">
        <f t="shared" si="10"/>
        <v>2951.6499999985099</v>
      </c>
      <c r="K123" s="152">
        <f t="shared" si="10"/>
        <v>20457.310000002384</v>
      </c>
      <c r="L123" s="152">
        <f t="shared" si="10"/>
        <v>671173.53999999911</v>
      </c>
      <c r="M123" s="187">
        <f t="shared" si="11"/>
        <v>43949538.390000708</v>
      </c>
    </row>
    <row r="124" spans="1:13" x14ac:dyDescent="0.2">
      <c r="A124" s="60">
        <f t="shared" si="12"/>
        <v>64</v>
      </c>
      <c r="B124" s="382" t="s">
        <v>499</v>
      </c>
      <c r="C124" s="152">
        <f t="shared" si="10"/>
        <v>0</v>
      </c>
      <c r="D124" s="152">
        <f t="shared" si="10"/>
        <v>11220.829999983311</v>
      </c>
      <c r="E124" s="152">
        <f t="shared" si="10"/>
        <v>6350145.3000000119</v>
      </c>
      <c r="F124" s="274">
        <f t="shared" si="10"/>
        <v>5868190.980001092</v>
      </c>
      <c r="G124" s="152">
        <f t="shared" si="10"/>
        <v>254546.93000006676</v>
      </c>
      <c r="H124" s="152">
        <f t="shared" si="10"/>
        <v>4025542.6699999571</v>
      </c>
      <c r="I124" s="152">
        <f t="shared" si="10"/>
        <v>-908655.77999985218</v>
      </c>
      <c r="J124" s="152">
        <f t="shared" si="10"/>
        <v>1826.5200000032783</v>
      </c>
      <c r="K124" s="152">
        <f t="shared" si="10"/>
        <v>363972.71000000834</v>
      </c>
      <c r="L124" s="152">
        <f t="shared" si="10"/>
        <v>293853.5700000003</v>
      </c>
      <c r="M124" s="384">
        <f t="shared" si="11"/>
        <v>16260643.730001271</v>
      </c>
    </row>
    <row r="125" spans="1:13" x14ac:dyDescent="0.2">
      <c r="A125" s="60">
        <f t="shared" si="12"/>
        <v>65</v>
      </c>
      <c r="B125" s="385" t="s">
        <v>500</v>
      </c>
      <c r="C125" s="260">
        <f t="shared" si="10"/>
        <v>-1210.6899999976158</v>
      </c>
      <c r="D125" s="260">
        <f t="shared" si="10"/>
        <v>97482.200000032783</v>
      </c>
      <c r="E125" s="260">
        <f t="shared" si="10"/>
        <v>2926584.5499998927</v>
      </c>
      <c r="F125" s="273">
        <f t="shared" si="10"/>
        <v>-27683826.230002165</v>
      </c>
      <c r="G125" s="260">
        <f t="shared" si="10"/>
        <v>19687683.940000057</v>
      </c>
      <c r="H125" s="260">
        <f t="shared" si="10"/>
        <v>6323258.8000001758</v>
      </c>
      <c r="I125" s="260">
        <f t="shared" si="10"/>
        <v>379773.38999998569</v>
      </c>
      <c r="J125" s="260">
        <f t="shared" si="10"/>
        <v>155.43999999761581</v>
      </c>
      <c r="K125" s="260">
        <f t="shared" si="10"/>
        <v>10306144.929999977</v>
      </c>
      <c r="L125" s="260">
        <f t="shared" si="10"/>
        <v>-10697.020000003278</v>
      </c>
      <c r="M125" s="427">
        <f t="shared" si="11"/>
        <v>12025349.309997953</v>
      </c>
    </row>
    <row r="126" spans="1:13" x14ac:dyDescent="0.2">
      <c r="A126" s="60">
        <f t="shared" si="12"/>
        <v>66</v>
      </c>
      <c r="B126" s="393" t="s">
        <v>532</v>
      </c>
      <c r="C126" s="384">
        <f>SUM(C114:C125)</f>
        <v>-41668.739999994636</v>
      </c>
      <c r="D126" s="384">
        <f t="shared" ref="D126:L126" si="13">SUM(D114:D125)</f>
        <v>1343265.8700000048</v>
      </c>
      <c r="E126" s="187">
        <f t="shared" si="13"/>
        <v>37065436.291775659</v>
      </c>
      <c r="F126" s="384">
        <f t="shared" si="13"/>
        <v>196402631.18722343</v>
      </c>
      <c r="G126" s="187">
        <f t="shared" si="13"/>
        <v>39844254.779999793</v>
      </c>
      <c r="H126" s="187">
        <f t="shared" si="13"/>
        <v>94512470.270000026</v>
      </c>
      <c r="I126" s="187">
        <f t="shared" si="13"/>
        <v>6817499.2999999672</v>
      </c>
      <c r="J126" s="187">
        <f t="shared" si="13"/>
        <v>6320595.0200000033</v>
      </c>
      <c r="K126" s="187">
        <f t="shared" si="13"/>
        <v>18780052.719999999</v>
      </c>
      <c r="L126" s="187">
        <f t="shared" si="13"/>
        <v>5146914.0599999875</v>
      </c>
      <c r="M126" s="384">
        <f>SUM(M114:M125)</f>
        <v>406191450.75899887</v>
      </c>
    </row>
    <row r="128" spans="1:13" x14ac:dyDescent="0.2">
      <c r="B128" s="56" t="s">
        <v>535</v>
      </c>
    </row>
    <row r="129" spans="1:13" x14ac:dyDescent="0.2">
      <c r="B129" s="225" t="s">
        <v>536</v>
      </c>
    </row>
    <row r="130" spans="1:13" x14ac:dyDescent="0.2">
      <c r="B130" s="62"/>
      <c r="C130" s="129">
        <v>350.1</v>
      </c>
      <c r="D130" s="129">
        <v>350.2</v>
      </c>
      <c r="E130" s="129">
        <v>352</v>
      </c>
      <c r="F130" s="129">
        <v>353</v>
      </c>
      <c r="G130" s="129">
        <v>354</v>
      </c>
      <c r="H130" s="129">
        <v>355</v>
      </c>
      <c r="I130" s="129">
        <v>356</v>
      </c>
      <c r="J130" s="129">
        <v>357</v>
      </c>
      <c r="K130" s="129">
        <v>358</v>
      </c>
      <c r="L130" s="129">
        <v>359</v>
      </c>
      <c r="M130" s="64" t="s">
        <v>169</v>
      </c>
    </row>
    <row r="131" spans="1:13" x14ac:dyDescent="0.2">
      <c r="A131" s="60">
        <f>A126+1</f>
        <v>67</v>
      </c>
      <c r="B131" s="62"/>
      <c r="C131" s="275">
        <f t="shared" ref="C131:M131" si="14">C23-C11</f>
        <v>-1525580.6264260858</v>
      </c>
      <c r="D131" s="275">
        <f t="shared" si="14"/>
        <v>28561130.172207475</v>
      </c>
      <c r="E131" s="121">
        <f t="shared" si="14"/>
        <v>168838414.37222165</v>
      </c>
      <c r="F131" s="121">
        <f t="shared" si="14"/>
        <v>477163634.11060047</v>
      </c>
      <c r="G131" s="121">
        <f t="shared" si="14"/>
        <v>715238047.95428586</v>
      </c>
      <c r="H131" s="121">
        <f t="shared" si="14"/>
        <v>-4640929.3739981949</v>
      </c>
      <c r="I131" s="121">
        <f t="shared" si="14"/>
        <v>270039321.08283359</v>
      </c>
      <c r="J131" s="121">
        <f t="shared" si="14"/>
        <v>-438076.38561243587</v>
      </c>
      <c r="K131" s="121">
        <f t="shared" si="14"/>
        <v>8379826.8535616891</v>
      </c>
      <c r="L131" s="121">
        <f t="shared" si="14"/>
        <v>30023277.488345146</v>
      </c>
      <c r="M131" s="121">
        <f t="shared" si="14"/>
        <v>1691639065.6480184</v>
      </c>
    </row>
    <row r="132" spans="1:13" x14ac:dyDescent="0.2">
      <c r="B132" s="62"/>
      <c r="C132" s="121"/>
      <c r="D132" s="121"/>
      <c r="E132" s="121"/>
      <c r="F132" s="121"/>
      <c r="G132" s="121"/>
      <c r="H132" s="121"/>
      <c r="I132" s="121"/>
      <c r="J132" s="121"/>
      <c r="K132" s="121"/>
      <c r="L132" s="121"/>
      <c r="M132" s="121"/>
    </row>
    <row r="133" spans="1:13" x14ac:dyDescent="0.2">
      <c r="B133" s="225" t="s">
        <v>537</v>
      </c>
      <c r="C133" s="121"/>
      <c r="D133" s="121"/>
      <c r="E133" s="121"/>
      <c r="F133" s="121"/>
      <c r="G133" s="121"/>
      <c r="H133" s="121"/>
      <c r="I133" s="121"/>
      <c r="J133" s="121"/>
      <c r="K133" s="121"/>
      <c r="L133" s="121"/>
      <c r="M133" s="121"/>
    </row>
    <row r="134" spans="1:13" x14ac:dyDescent="0.2">
      <c r="B134" s="62"/>
      <c r="C134" s="129">
        <v>350.1</v>
      </c>
      <c r="D134" s="129">
        <v>350.2</v>
      </c>
      <c r="E134" s="129">
        <v>352</v>
      </c>
      <c r="F134" s="129">
        <v>353</v>
      </c>
      <c r="G134" s="129">
        <v>354</v>
      </c>
      <c r="H134" s="129">
        <v>355</v>
      </c>
      <c r="I134" s="129">
        <v>356</v>
      </c>
      <c r="J134" s="129">
        <v>357</v>
      </c>
      <c r="K134" s="129">
        <v>358</v>
      </c>
      <c r="L134" s="129">
        <v>359</v>
      </c>
      <c r="M134" s="64" t="s">
        <v>169</v>
      </c>
    </row>
    <row r="135" spans="1:13" x14ac:dyDescent="0.2">
      <c r="A135" s="60">
        <f>A131+1</f>
        <v>68</v>
      </c>
      <c r="B135" s="62"/>
      <c r="C135" s="275">
        <f t="shared" ref="C135:M135" si="15">C106</f>
        <v>0</v>
      </c>
      <c r="D135" s="275">
        <f t="shared" si="15"/>
        <v>29128623.379999995</v>
      </c>
      <c r="E135" s="121">
        <f t="shared" si="15"/>
        <v>149017265.70822424</v>
      </c>
      <c r="F135" s="275">
        <f t="shared" si="15"/>
        <v>421224988.12277555</v>
      </c>
      <c r="G135" s="121">
        <f t="shared" si="15"/>
        <v>709124593.02000022</v>
      </c>
      <c r="H135" s="121">
        <f t="shared" si="15"/>
        <v>893718.45000000298</v>
      </c>
      <c r="I135" s="121">
        <f t="shared" si="15"/>
        <v>273896265.48000002</v>
      </c>
      <c r="J135" s="121">
        <f t="shared" si="15"/>
        <v>0</v>
      </c>
      <c r="K135" s="121">
        <f t="shared" si="15"/>
        <v>0</v>
      </c>
      <c r="L135" s="121">
        <f t="shared" si="15"/>
        <v>28290861.150000006</v>
      </c>
      <c r="M135" s="275">
        <f t="shared" si="15"/>
        <v>1611576315.3110001</v>
      </c>
    </row>
    <row r="136" spans="1:13" x14ac:dyDescent="0.2">
      <c r="B136" s="62"/>
      <c r="C136" s="121"/>
      <c r="D136" s="121"/>
      <c r="E136" s="121"/>
      <c r="F136" s="121"/>
      <c r="G136" s="121"/>
      <c r="H136" s="121"/>
      <c r="I136" s="121"/>
      <c r="J136" s="121"/>
      <c r="K136" s="121"/>
      <c r="L136" s="121"/>
      <c r="M136" s="121"/>
    </row>
    <row r="137" spans="1:13" x14ac:dyDescent="0.2">
      <c r="B137" s="225" t="s">
        <v>538</v>
      </c>
      <c r="C137" s="121"/>
      <c r="D137" s="121"/>
      <c r="E137" s="121"/>
      <c r="F137" s="121"/>
      <c r="G137" s="121"/>
      <c r="H137" s="121"/>
      <c r="I137" s="121"/>
      <c r="J137" s="121"/>
      <c r="K137" s="121"/>
      <c r="L137" s="121"/>
      <c r="M137" s="121"/>
    </row>
    <row r="138" spans="1:13" x14ac:dyDescent="0.2">
      <c r="C138" s="129">
        <v>350.1</v>
      </c>
      <c r="D138" s="129">
        <v>350.2</v>
      </c>
      <c r="E138" s="129">
        <v>352</v>
      </c>
      <c r="F138" s="129">
        <v>353</v>
      </c>
      <c r="G138" s="129">
        <v>354</v>
      </c>
      <c r="H138" s="129">
        <v>355</v>
      </c>
      <c r="I138" s="129">
        <v>356</v>
      </c>
      <c r="J138" s="129">
        <v>357</v>
      </c>
      <c r="K138" s="129">
        <v>358</v>
      </c>
      <c r="L138" s="129">
        <v>359</v>
      </c>
      <c r="M138" s="64" t="s">
        <v>169</v>
      </c>
    </row>
    <row r="139" spans="1:13" x14ac:dyDescent="0.2">
      <c r="A139" s="60">
        <f>A135+1</f>
        <v>69</v>
      </c>
      <c r="C139" s="275">
        <f t="shared" ref="C139:M139" si="16">C131-C135</f>
        <v>-1525580.6264260858</v>
      </c>
      <c r="D139" s="275">
        <f t="shared" si="16"/>
        <v>-567493.20779252052</v>
      </c>
      <c r="E139" s="121">
        <f t="shared" si="16"/>
        <v>19821148.663997412</v>
      </c>
      <c r="F139" s="275">
        <f t="shared" si="16"/>
        <v>55938645.987824917</v>
      </c>
      <c r="G139" s="121">
        <f t="shared" si="16"/>
        <v>6113454.9342856407</v>
      </c>
      <c r="H139" s="121">
        <f t="shared" si="16"/>
        <v>-5534647.8239981979</v>
      </c>
      <c r="I139" s="121">
        <f t="shared" si="16"/>
        <v>-3856944.397166431</v>
      </c>
      <c r="J139" s="121">
        <f t="shared" si="16"/>
        <v>-438076.38561243587</v>
      </c>
      <c r="K139" s="121">
        <f t="shared" si="16"/>
        <v>8379826.8535616891</v>
      </c>
      <c r="L139" s="121">
        <f t="shared" si="16"/>
        <v>1732416.3383451402</v>
      </c>
      <c r="M139" s="275">
        <f t="shared" si="16"/>
        <v>80062750.337018251</v>
      </c>
    </row>
    <row r="141" spans="1:13" x14ac:dyDescent="0.2">
      <c r="B141" s="79" t="s">
        <v>539</v>
      </c>
      <c r="C141" s="57"/>
      <c r="D141" s="57"/>
      <c r="E141" s="57"/>
      <c r="F141" s="57"/>
      <c r="G141" s="57"/>
    </row>
    <row r="142" spans="1:13" x14ac:dyDescent="0.2">
      <c r="A142" s="375"/>
      <c r="B142" s="314" t="s">
        <v>167</v>
      </c>
      <c r="C142" s="314" t="s">
        <v>168</v>
      </c>
      <c r="D142" s="314" t="s">
        <v>184</v>
      </c>
      <c r="E142" s="314" t="s">
        <v>185</v>
      </c>
      <c r="F142" s="314" t="s">
        <v>186</v>
      </c>
      <c r="G142" s="314" t="s">
        <v>187</v>
      </c>
      <c r="H142" s="129" t="s">
        <v>188</v>
      </c>
      <c r="I142" s="129" t="s">
        <v>350</v>
      </c>
      <c r="J142" s="129" t="s">
        <v>404</v>
      </c>
      <c r="K142" s="129" t="s">
        <v>403</v>
      </c>
      <c r="L142" s="129" t="s">
        <v>402</v>
      </c>
      <c r="M142" s="129" t="s">
        <v>401</v>
      </c>
    </row>
    <row r="143" spans="1:13" x14ac:dyDescent="0.2">
      <c r="A143" s="144"/>
      <c r="B143" s="378"/>
      <c r="C143" s="142"/>
      <c r="D143" s="142"/>
      <c r="E143" s="142"/>
      <c r="F143" s="428"/>
      <c r="G143" s="142"/>
      <c r="H143" s="144"/>
      <c r="I143" s="144"/>
      <c r="J143" s="144"/>
      <c r="K143" s="144"/>
      <c r="L143" s="144"/>
      <c r="M143" s="379" t="s">
        <v>486</v>
      </c>
    </row>
    <row r="144" spans="1:13" x14ac:dyDescent="0.2">
      <c r="A144" s="144"/>
      <c r="B144" s="65"/>
      <c r="C144" s="314"/>
      <c r="D144" s="314"/>
      <c r="E144" s="142"/>
      <c r="F144" s="142"/>
      <c r="G144" s="142"/>
      <c r="H144" s="144"/>
      <c r="I144" s="144"/>
      <c r="J144" s="144"/>
      <c r="K144" s="144"/>
      <c r="L144" s="144"/>
    </row>
    <row r="145" spans="1:13" x14ac:dyDescent="0.2">
      <c r="A145" s="63"/>
      <c r="B145" s="101" t="s">
        <v>487</v>
      </c>
      <c r="C145" s="314">
        <v>350.1</v>
      </c>
      <c r="D145" s="314">
        <v>350.2</v>
      </c>
      <c r="E145" s="314">
        <v>352</v>
      </c>
      <c r="F145" s="314">
        <v>353</v>
      </c>
      <c r="G145" s="314">
        <v>354</v>
      </c>
      <c r="H145" s="129">
        <v>355</v>
      </c>
      <c r="I145" s="129">
        <v>356</v>
      </c>
      <c r="J145" s="129">
        <v>357</v>
      </c>
      <c r="K145" s="129">
        <v>358</v>
      </c>
      <c r="L145" s="129">
        <v>359</v>
      </c>
      <c r="M145" s="64" t="s">
        <v>169</v>
      </c>
    </row>
    <row r="146" spans="1:13" x14ac:dyDescent="0.2">
      <c r="A146" s="60">
        <f>A139+1</f>
        <v>70</v>
      </c>
      <c r="B146" s="382" t="s">
        <v>489</v>
      </c>
      <c r="C146" s="152">
        <f t="shared" ref="C146:C157" si="17">C114*($C$139/$C$126)</f>
        <v>0</v>
      </c>
      <c r="D146" s="274">
        <f t="shared" ref="D146:D157" si="18">D114*($D$139/$D$126)</f>
        <v>-6769.817195476423</v>
      </c>
      <c r="E146" s="152">
        <f t="shared" ref="E146:E157" si="19">E114*($E$139/$E$126)</f>
        <v>274717.57661987568</v>
      </c>
      <c r="F146" s="274">
        <f t="shared" ref="F146:F157" si="20">F114*($F$139/$F$126)</f>
        <v>164097.8042049318</v>
      </c>
      <c r="G146" s="152">
        <f t="shared" ref="G146:G157" si="21">G114*($G$139/$G$126)</f>
        <v>862.34545208791803</v>
      </c>
      <c r="H146" s="152">
        <f t="shared" ref="H146:H157" si="22">H114*($H$139/$H$126)</f>
        <v>-110838.80212197034</v>
      </c>
      <c r="I146" s="152">
        <f t="shared" ref="I146:I157" si="23">I114*($I$139/$I$126)</f>
        <v>-124947.07162637579</v>
      </c>
      <c r="J146" s="152">
        <f t="shared" ref="J146:J157" si="24">J114*($J$139/$J$126)</f>
        <v>4621.4267274732601</v>
      </c>
      <c r="K146" s="152">
        <f t="shared" ref="K146:K157" si="25">K114*($K$139/$K$126)</f>
        <v>1617973.6182237493</v>
      </c>
      <c r="L146" s="152">
        <f t="shared" ref="L146:L157" si="26">L114*($L$139/$L$126)</f>
        <v>0</v>
      </c>
      <c r="M146" s="384">
        <f t="shared" ref="M146:M157" si="27">SUM(C146:L146)</f>
        <v>1819717.0802842956</v>
      </c>
    </row>
    <row r="147" spans="1:13" x14ac:dyDescent="0.2">
      <c r="A147" s="60">
        <f t="shared" ref="A147:A158" si="28">A146+1</f>
        <v>71</v>
      </c>
      <c r="B147" s="385" t="s">
        <v>490</v>
      </c>
      <c r="C147" s="152">
        <f t="shared" si="17"/>
        <v>0</v>
      </c>
      <c r="D147" s="274">
        <f t="shared" si="18"/>
        <v>-2299.5360030631455</v>
      </c>
      <c r="E147" s="152">
        <f t="shared" si="19"/>
        <v>730654.31437996286</v>
      </c>
      <c r="F147" s="274">
        <f t="shared" si="20"/>
        <v>5758081.3568264404</v>
      </c>
      <c r="G147" s="152">
        <f t="shared" si="21"/>
        <v>-504.42585220204387</v>
      </c>
      <c r="H147" s="152">
        <f t="shared" si="22"/>
        <v>-6172.2517356668895</v>
      </c>
      <c r="I147" s="152">
        <f t="shared" si="23"/>
        <v>-271867.50425643811</v>
      </c>
      <c r="J147" s="152">
        <f t="shared" si="24"/>
        <v>-377.51213411291809</v>
      </c>
      <c r="K147" s="152">
        <f t="shared" si="25"/>
        <v>-8409.6859401287966</v>
      </c>
      <c r="L147" s="152">
        <f t="shared" si="26"/>
        <v>0</v>
      </c>
      <c r="M147" s="384">
        <f t="shared" si="27"/>
        <v>6199104.7552847909</v>
      </c>
    </row>
    <row r="148" spans="1:13" x14ac:dyDescent="0.2">
      <c r="A148" s="60">
        <f t="shared" si="28"/>
        <v>72</v>
      </c>
      <c r="B148" s="385" t="s">
        <v>491</v>
      </c>
      <c r="C148" s="274">
        <f t="shared" si="17"/>
        <v>-1696706.0097165548</v>
      </c>
      <c r="D148" s="274">
        <f t="shared" si="18"/>
        <v>-1236.4382833957636</v>
      </c>
      <c r="E148" s="152">
        <f t="shared" si="19"/>
        <v>82600.585843956695</v>
      </c>
      <c r="F148" s="274">
        <f t="shared" si="20"/>
        <v>2595675.5573264146</v>
      </c>
      <c r="G148" s="152">
        <f t="shared" si="21"/>
        <v>88627.452534586992</v>
      </c>
      <c r="H148" s="152">
        <f t="shared" si="22"/>
        <v>-36427.22787435085</v>
      </c>
      <c r="I148" s="152">
        <f t="shared" si="23"/>
        <v>-793690.70447470283</v>
      </c>
      <c r="J148" s="152">
        <f t="shared" si="24"/>
        <v>-1599.2531461939234</v>
      </c>
      <c r="K148" s="152">
        <f t="shared" si="25"/>
        <v>-198074.10292151076</v>
      </c>
      <c r="L148" s="152">
        <f t="shared" si="26"/>
        <v>-12789.175509719727</v>
      </c>
      <c r="M148" s="384">
        <f t="shared" si="27"/>
        <v>26380.683778529728</v>
      </c>
    </row>
    <row r="149" spans="1:13" x14ac:dyDescent="0.2">
      <c r="A149" s="60">
        <f t="shared" si="28"/>
        <v>73</v>
      </c>
      <c r="B149" s="382" t="s">
        <v>531</v>
      </c>
      <c r="C149" s="152">
        <f t="shared" si="17"/>
        <v>0</v>
      </c>
      <c r="D149" s="274">
        <f t="shared" si="18"/>
        <v>-14354.571625286739</v>
      </c>
      <c r="E149" s="152">
        <f t="shared" si="19"/>
        <v>6139636.942430499</v>
      </c>
      <c r="F149" s="274">
        <f t="shared" si="20"/>
        <v>12290979.59277476</v>
      </c>
      <c r="G149" s="152">
        <f t="shared" si="21"/>
        <v>1288.5522936054838</v>
      </c>
      <c r="H149" s="152">
        <f t="shared" si="22"/>
        <v>-129323.49632868292</v>
      </c>
      <c r="I149" s="152">
        <f t="shared" si="23"/>
        <v>-1129183.552439963</v>
      </c>
      <c r="J149" s="152">
        <f t="shared" si="24"/>
        <v>-92414.32474480354</v>
      </c>
      <c r="K149" s="152">
        <f t="shared" si="25"/>
        <v>-527278.30439650267</v>
      </c>
      <c r="L149" s="152">
        <f t="shared" si="26"/>
        <v>-4364.0656384247268</v>
      </c>
      <c r="M149" s="384">
        <f t="shared" si="27"/>
        <v>16534986.772325205</v>
      </c>
    </row>
    <row r="150" spans="1:13" x14ac:dyDescent="0.2">
      <c r="A150" s="60">
        <f t="shared" si="28"/>
        <v>74</v>
      </c>
      <c r="B150" s="385" t="s">
        <v>493</v>
      </c>
      <c r="C150" s="274">
        <f t="shared" si="17"/>
        <v>-20067.465374513369</v>
      </c>
      <c r="D150" s="152">
        <f t="shared" si="18"/>
        <v>0</v>
      </c>
      <c r="E150" s="152">
        <f t="shared" si="19"/>
        <v>955652.81602047535</v>
      </c>
      <c r="F150" s="274">
        <f t="shared" si="20"/>
        <v>12200347.642765006</v>
      </c>
      <c r="G150" s="152">
        <f t="shared" si="21"/>
        <v>-622.46093088410441</v>
      </c>
      <c r="H150" s="152">
        <f t="shared" si="22"/>
        <v>-233901.13159250445</v>
      </c>
      <c r="I150" s="152">
        <f t="shared" si="23"/>
        <v>-474760.80793982605</v>
      </c>
      <c r="J150" s="152">
        <f t="shared" si="24"/>
        <v>-81505.927207811139</v>
      </c>
      <c r="K150" s="152">
        <f t="shared" si="25"/>
        <v>-149078.57977004605</v>
      </c>
      <c r="L150" s="152">
        <f t="shared" si="26"/>
        <v>0.15483287558140418</v>
      </c>
      <c r="M150" s="384">
        <f t="shared" si="27"/>
        <v>12196064.240802772</v>
      </c>
    </row>
    <row r="151" spans="1:13" x14ac:dyDescent="0.2">
      <c r="A151" s="60">
        <f t="shared" si="28"/>
        <v>75</v>
      </c>
      <c r="B151" s="385" t="s">
        <v>494</v>
      </c>
      <c r="C151" s="274">
        <f t="shared" si="17"/>
        <v>478186.0511328039</v>
      </c>
      <c r="D151" s="274">
        <f t="shared" si="18"/>
        <v>3600.8280762269037</v>
      </c>
      <c r="E151" s="152">
        <f t="shared" si="19"/>
        <v>850024.84526750969</v>
      </c>
      <c r="F151" s="274">
        <f t="shared" si="20"/>
        <v>5769802.6588680325</v>
      </c>
      <c r="G151" s="152">
        <f t="shared" si="21"/>
        <v>2103324.2127394644</v>
      </c>
      <c r="H151" s="152">
        <f t="shared" si="22"/>
        <v>-2767704.711407565</v>
      </c>
      <c r="I151" s="152">
        <f t="shared" si="23"/>
        <v>-5417916.9557712888</v>
      </c>
      <c r="J151" s="152">
        <f t="shared" si="24"/>
        <v>-155914.92681968192</v>
      </c>
      <c r="K151" s="152">
        <f t="shared" si="25"/>
        <v>2106613.309857449</v>
      </c>
      <c r="L151" s="152">
        <f t="shared" si="26"/>
        <v>1423198.5176499512</v>
      </c>
      <c r="M151" s="384">
        <f t="shared" si="27"/>
        <v>4393213.8295929031</v>
      </c>
    </row>
    <row r="152" spans="1:13" x14ac:dyDescent="0.2">
      <c r="A152" s="60">
        <f t="shared" si="28"/>
        <v>76</v>
      </c>
      <c r="B152" s="382" t="s">
        <v>495</v>
      </c>
      <c r="C152" s="274">
        <f t="shared" si="17"/>
        <v>-2461.0662503007306</v>
      </c>
      <c r="D152" s="274">
        <f t="shared" si="18"/>
        <v>-13043.820387542461</v>
      </c>
      <c r="E152" s="152">
        <f t="shared" si="19"/>
        <v>176418.36592261671</v>
      </c>
      <c r="F152" s="274">
        <f t="shared" si="20"/>
        <v>2344522.0375895263</v>
      </c>
      <c r="G152" s="152">
        <f t="shared" si="21"/>
        <v>104258.68691287116</v>
      </c>
      <c r="H152" s="152">
        <f t="shared" si="22"/>
        <v>-675960.01374193176</v>
      </c>
      <c r="I152" s="152">
        <f t="shared" si="23"/>
        <v>-1551657.5065463651</v>
      </c>
      <c r="J152" s="152">
        <f t="shared" si="24"/>
        <v>-49243.459121645021</v>
      </c>
      <c r="K152" s="152">
        <f t="shared" si="25"/>
        <v>99354.683042279692</v>
      </c>
      <c r="L152" s="152">
        <f t="shared" si="26"/>
        <v>21963.578897479416</v>
      </c>
      <c r="M152" s="384">
        <f t="shared" si="27"/>
        <v>454151.4863169879</v>
      </c>
    </row>
    <row r="153" spans="1:13" x14ac:dyDescent="0.2">
      <c r="A153" s="60">
        <f t="shared" si="28"/>
        <v>77</v>
      </c>
      <c r="B153" s="385" t="s">
        <v>496</v>
      </c>
      <c r="C153" s="274">
        <f t="shared" si="17"/>
        <v>0</v>
      </c>
      <c r="D153" s="274">
        <f t="shared" si="18"/>
        <v>-484003.45699741173</v>
      </c>
      <c r="E153" s="152">
        <f t="shared" si="19"/>
        <v>869219.47625932388</v>
      </c>
      <c r="F153" s="274">
        <f t="shared" si="20"/>
        <v>8581938.6273034792</v>
      </c>
      <c r="G153" s="152">
        <f t="shared" si="21"/>
        <v>-169124.17247102814</v>
      </c>
      <c r="H153" s="152">
        <f t="shared" si="22"/>
        <v>-44525.391844298807</v>
      </c>
      <c r="I153" s="152">
        <f t="shared" si="23"/>
        <v>383640.70642570773</v>
      </c>
      <c r="J153" s="152">
        <f t="shared" si="24"/>
        <v>-35006.447764655284</v>
      </c>
      <c r="K153" s="152">
        <f t="shared" si="25"/>
        <v>860265.22851962375</v>
      </c>
      <c r="L153" s="152">
        <f t="shared" si="26"/>
        <v>-18821.063882423226</v>
      </c>
      <c r="M153" s="384">
        <f t="shared" si="27"/>
        <v>9943583.505548317</v>
      </c>
    </row>
    <row r="154" spans="1:13" x14ac:dyDescent="0.2">
      <c r="A154" s="60">
        <f t="shared" si="28"/>
        <v>78</v>
      </c>
      <c r="B154" s="385" t="s">
        <v>497</v>
      </c>
      <c r="C154" s="274">
        <f t="shared" si="17"/>
        <v>-240206.21686876219</v>
      </c>
      <c r="D154" s="274">
        <f t="shared" si="18"/>
        <v>1432.8289596380982</v>
      </c>
      <c r="E154" s="152">
        <f t="shared" si="19"/>
        <v>1798278.6764216253</v>
      </c>
      <c r="F154" s="274">
        <f t="shared" si="20"/>
        <v>3182547.987936005</v>
      </c>
      <c r="G154" s="152">
        <f t="shared" si="21"/>
        <v>397933.67874099279</v>
      </c>
      <c r="H154" s="152">
        <f t="shared" si="22"/>
        <v>-1014337.8846906549</v>
      </c>
      <c r="I154" s="152">
        <f t="shared" si="23"/>
        <v>7060831.6713596648</v>
      </c>
      <c r="J154" s="152">
        <f t="shared" si="24"/>
        <v>-26294.016057254965</v>
      </c>
      <c r="K154" s="152">
        <f t="shared" si="25"/>
        <v>-191769.10855423636</v>
      </c>
      <c r="L154" s="152">
        <f t="shared" si="26"/>
        <v>2007.361137469587</v>
      </c>
      <c r="M154" s="384">
        <f t="shared" si="27"/>
        <v>10970424.978384487</v>
      </c>
    </row>
    <row r="155" spans="1:13" x14ac:dyDescent="0.2">
      <c r="A155" s="60">
        <f t="shared" si="28"/>
        <v>79</v>
      </c>
      <c r="B155" s="382" t="s">
        <v>498</v>
      </c>
      <c r="C155" s="274">
        <f t="shared" si="17"/>
        <v>0</v>
      </c>
      <c r="D155" s="274">
        <f t="shared" si="18"/>
        <v>-4895.1577986775228</v>
      </c>
      <c r="E155" s="152">
        <f t="shared" si="19"/>
        <v>2983112.0120343422</v>
      </c>
      <c r="F155" s="274">
        <f t="shared" si="20"/>
        <v>9264098.4885755833</v>
      </c>
      <c r="G155" s="152">
        <f t="shared" si="21"/>
        <v>527599.0446382619</v>
      </c>
      <c r="H155" s="152">
        <f t="shared" si="22"/>
        <v>90568.634796802493</v>
      </c>
      <c r="I155" s="152">
        <f t="shared" si="23"/>
        <v>-1836603.552764846</v>
      </c>
      <c r="J155" s="152">
        <f t="shared" si="24"/>
        <v>-204.57696775394618</v>
      </c>
      <c r="K155" s="152">
        <f t="shared" si="25"/>
        <v>9128.2339962278911</v>
      </c>
      <c r="L155" s="152">
        <f t="shared" si="26"/>
        <v>225912.4580294521</v>
      </c>
      <c r="M155" s="384">
        <f t="shared" si="27"/>
        <v>11258715.584539391</v>
      </c>
    </row>
    <row r="156" spans="1:13" x14ac:dyDescent="0.2">
      <c r="A156" s="60">
        <f t="shared" si="28"/>
        <v>80</v>
      </c>
      <c r="B156" s="382" t="s">
        <v>499</v>
      </c>
      <c r="C156" s="152">
        <f t="shared" si="17"/>
        <v>0</v>
      </c>
      <c r="D156" s="274">
        <f t="shared" si="18"/>
        <v>-4740.4947546125431</v>
      </c>
      <c r="E156" s="152">
        <f t="shared" si="19"/>
        <v>3395809.8601206266</v>
      </c>
      <c r="F156" s="274">
        <f t="shared" si="20"/>
        <v>1671355.703510466</v>
      </c>
      <c r="G156" s="152">
        <f t="shared" si="21"/>
        <v>39056.099651217461</v>
      </c>
      <c r="H156" s="152">
        <f t="shared" si="22"/>
        <v>-235735.67504138366</v>
      </c>
      <c r="I156" s="152">
        <f t="shared" si="23"/>
        <v>514064.56611199648</v>
      </c>
      <c r="J156" s="152">
        <f t="shared" si="24"/>
        <v>-126.59492932522389</v>
      </c>
      <c r="K156" s="152">
        <f t="shared" si="25"/>
        <v>162407.86619163927</v>
      </c>
      <c r="L156" s="152">
        <f t="shared" si="26"/>
        <v>98909.117155348256</v>
      </c>
      <c r="M156" s="384">
        <f t="shared" si="27"/>
        <v>5641000.448015973</v>
      </c>
    </row>
    <row r="157" spans="1:13" x14ac:dyDescent="0.2">
      <c r="A157" s="60">
        <f t="shared" si="28"/>
        <v>81</v>
      </c>
      <c r="B157" s="385" t="s">
        <v>500</v>
      </c>
      <c r="C157" s="273">
        <f t="shared" si="17"/>
        <v>-44325.919348758769</v>
      </c>
      <c r="D157" s="273">
        <f t="shared" si="18"/>
        <v>-41183.571782919236</v>
      </c>
      <c r="E157" s="260">
        <f t="shared" si="19"/>
        <v>1565023.1926765996</v>
      </c>
      <c r="F157" s="273">
        <f t="shared" si="20"/>
        <v>-7884801.4698557323</v>
      </c>
      <c r="G157" s="260">
        <f t="shared" si="21"/>
        <v>3020755.920576666</v>
      </c>
      <c r="H157" s="260">
        <f t="shared" si="22"/>
        <v>-370289.87241599074</v>
      </c>
      <c r="I157" s="260">
        <f t="shared" si="23"/>
        <v>-214853.68524399464</v>
      </c>
      <c r="J157" s="260">
        <f t="shared" si="24"/>
        <v>-10.773446671252248</v>
      </c>
      <c r="K157" s="260">
        <f t="shared" si="25"/>
        <v>4598693.6953131445</v>
      </c>
      <c r="L157" s="260">
        <f t="shared" si="26"/>
        <v>-3600.5443268680606</v>
      </c>
      <c r="M157" s="427">
        <f t="shared" si="27"/>
        <v>625406.9721454758</v>
      </c>
    </row>
    <row r="158" spans="1:13" x14ac:dyDescent="0.2">
      <c r="A158" s="60">
        <f t="shared" si="28"/>
        <v>82</v>
      </c>
      <c r="B158" s="393" t="s">
        <v>532</v>
      </c>
      <c r="C158" s="384">
        <f>SUM(C146:C157)</f>
        <v>-1525580.6264260861</v>
      </c>
      <c r="D158" s="384">
        <f t="shared" ref="D158:L158" si="29">SUM(D146:D157)</f>
        <v>-567493.20779252052</v>
      </c>
      <c r="E158" s="187">
        <f t="shared" si="29"/>
        <v>19821148.663997415</v>
      </c>
      <c r="F158" s="384">
        <f t="shared" si="29"/>
        <v>55938645.987824909</v>
      </c>
      <c r="G158" s="187">
        <f t="shared" si="29"/>
        <v>6113454.9342856389</v>
      </c>
      <c r="H158" s="187">
        <f t="shared" si="29"/>
        <v>-5534647.8239981979</v>
      </c>
      <c r="I158" s="187">
        <f t="shared" si="29"/>
        <v>-3856944.397166431</v>
      </c>
      <c r="J158" s="187">
        <f t="shared" si="29"/>
        <v>-438076.38561243587</v>
      </c>
      <c r="K158" s="187">
        <f t="shared" si="29"/>
        <v>8379826.8535616882</v>
      </c>
      <c r="L158" s="187">
        <f t="shared" si="29"/>
        <v>1732416.33834514</v>
      </c>
      <c r="M158" s="384">
        <f>SUM(M146:M157)</f>
        <v>80062750.337019131</v>
      </c>
    </row>
    <row r="160" spans="1:13" x14ac:dyDescent="0.2">
      <c r="B160" s="429" t="s">
        <v>342</v>
      </c>
    </row>
    <row r="161" spans="2:44" x14ac:dyDescent="0.2">
      <c r="B161" s="68" t="s">
        <v>540</v>
      </c>
      <c r="C161" s="57"/>
      <c r="D161" s="57"/>
      <c r="E161" s="57"/>
      <c r="F161" s="57"/>
      <c r="G161" s="57"/>
      <c r="H161" s="57"/>
      <c r="I161" s="57"/>
      <c r="J161" s="57"/>
      <c r="K161" s="57"/>
      <c r="L161" s="57"/>
    </row>
    <row r="162" spans="2:44" x14ac:dyDescent="0.2">
      <c r="B162" s="430" t="s">
        <v>541</v>
      </c>
      <c r="C162" s="68"/>
      <c r="D162" s="68"/>
      <c r="E162" s="68"/>
      <c r="F162" s="68"/>
      <c r="G162" s="68"/>
      <c r="H162" s="68"/>
      <c r="I162" s="57"/>
      <c r="J162" s="68"/>
      <c r="K162" s="68"/>
      <c r="L162" s="68"/>
      <c r="M162" s="68"/>
      <c r="N162" s="124"/>
      <c r="O162" s="124"/>
      <c r="P162" s="124"/>
      <c r="Q162" s="124"/>
      <c r="R162" s="124"/>
      <c r="S162" s="124"/>
      <c r="T162" s="124"/>
      <c r="U162" s="124"/>
      <c r="V162" s="124"/>
      <c r="W162" s="124"/>
      <c r="X162" s="124"/>
      <c r="Y162" s="124"/>
      <c r="Z162" s="124"/>
      <c r="AA162" s="124"/>
      <c r="AB162" s="124"/>
      <c r="AC162" s="124"/>
      <c r="AD162" s="124"/>
      <c r="AE162" s="124"/>
      <c r="AF162" s="124"/>
      <c r="AG162" s="124"/>
      <c r="AH162" s="124"/>
      <c r="AI162" s="124"/>
      <c r="AJ162" s="124"/>
      <c r="AK162" s="124"/>
      <c r="AL162" s="124"/>
      <c r="AM162" s="124"/>
      <c r="AN162" s="124"/>
      <c r="AO162" s="124"/>
      <c r="AP162" s="124"/>
      <c r="AQ162" s="124"/>
      <c r="AR162" s="124"/>
    </row>
    <row r="163" spans="2:44" x14ac:dyDescent="0.2">
      <c r="B163" s="57" t="s">
        <v>542</v>
      </c>
      <c r="C163" s="57"/>
      <c r="D163" s="57"/>
      <c r="E163" s="57"/>
      <c r="F163" s="57"/>
      <c r="G163" s="57"/>
      <c r="H163" s="57"/>
      <c r="I163" s="57"/>
      <c r="J163" s="57"/>
      <c r="K163" s="57"/>
      <c r="L163" s="57"/>
      <c r="M163" s="57"/>
    </row>
    <row r="164" spans="2:44" x14ac:dyDescent="0.2">
      <c r="B164" s="70" t="s">
        <v>543</v>
      </c>
      <c r="C164" s="57"/>
      <c r="D164" s="57"/>
      <c r="E164" s="57"/>
      <c r="F164" s="57"/>
      <c r="G164" s="57"/>
      <c r="H164" s="57"/>
      <c r="I164" s="57"/>
      <c r="J164" s="57"/>
      <c r="K164" s="57"/>
      <c r="L164" s="57"/>
      <c r="M164" s="57"/>
    </row>
    <row r="165" spans="2:44" x14ac:dyDescent="0.2">
      <c r="B165" s="70" t="s">
        <v>544</v>
      </c>
      <c r="C165" s="57"/>
      <c r="D165" s="57"/>
      <c r="E165" s="57"/>
      <c r="F165" s="57"/>
      <c r="G165" s="57"/>
      <c r="H165" s="57"/>
      <c r="I165" s="57"/>
      <c r="J165" s="57"/>
      <c r="K165" s="57"/>
      <c r="L165" s="57"/>
      <c r="M165" s="57"/>
    </row>
    <row r="166" spans="2:44" x14ac:dyDescent="0.2">
      <c r="B166" s="71" t="s">
        <v>545</v>
      </c>
      <c r="C166" s="57"/>
      <c r="D166" s="57"/>
      <c r="E166" s="57"/>
      <c r="F166" s="57"/>
      <c r="G166" s="57"/>
      <c r="H166" s="57"/>
      <c r="I166" s="57"/>
      <c r="J166" s="57"/>
      <c r="K166" s="57"/>
      <c r="L166" s="57"/>
      <c r="M166" s="57"/>
    </row>
    <row r="167" spans="2:44" x14ac:dyDescent="0.2">
      <c r="B167" s="68" t="s">
        <v>546</v>
      </c>
      <c r="C167" s="57"/>
      <c r="D167" s="57"/>
      <c r="E167" s="57"/>
      <c r="F167" s="57"/>
      <c r="G167" s="57"/>
      <c r="H167" s="57"/>
      <c r="I167" s="57"/>
      <c r="J167" s="57"/>
      <c r="K167" s="57"/>
      <c r="L167" s="57"/>
      <c r="M167" s="57"/>
    </row>
    <row r="168" spans="2:44" x14ac:dyDescent="0.2">
      <c r="B168" s="70" t="s">
        <v>547</v>
      </c>
      <c r="C168" s="57"/>
      <c r="D168" s="57"/>
      <c r="E168" s="57"/>
      <c r="F168" s="57"/>
      <c r="G168" s="57"/>
      <c r="H168" s="57"/>
      <c r="I168" s="57"/>
      <c r="J168" s="57"/>
      <c r="K168" s="57"/>
      <c r="L168" s="57"/>
      <c r="M168" s="57"/>
    </row>
    <row r="169" spans="2:44" x14ac:dyDescent="0.2">
      <c r="B169" s="70" t="s">
        <v>548</v>
      </c>
      <c r="C169" s="57"/>
      <c r="D169" s="57"/>
      <c r="E169" s="57"/>
      <c r="F169" s="57"/>
      <c r="G169" s="57"/>
      <c r="H169" s="57"/>
      <c r="I169" s="57"/>
      <c r="J169" s="57"/>
      <c r="K169" s="57"/>
      <c r="L169" s="57"/>
      <c r="M169" s="57"/>
    </row>
    <row r="170" spans="2:44" x14ac:dyDescent="0.2">
      <c r="B170" s="70" t="s">
        <v>549</v>
      </c>
      <c r="C170" s="57"/>
      <c r="D170" s="57"/>
      <c r="E170" s="57"/>
      <c r="F170" s="57"/>
      <c r="G170" s="57"/>
      <c r="H170" s="57"/>
      <c r="I170" s="57"/>
      <c r="J170" s="57"/>
      <c r="K170" s="57"/>
      <c r="L170" s="57"/>
      <c r="M170" s="57"/>
    </row>
    <row r="171" spans="2:44" x14ac:dyDescent="0.2">
      <c r="B171" s="68" t="str">
        <f>"2) Amounts on Line "&amp;A34&amp;" must match 6-Plant Study amounts for Distribution Plant - ISO for previous year."</f>
        <v>2) Amounts on Line 15 must match 6-Plant Study amounts for Distribution Plant - ISO for previous year.</v>
      </c>
      <c r="C171" s="57"/>
      <c r="D171" s="57"/>
      <c r="E171" s="57"/>
      <c r="F171" s="57"/>
      <c r="G171" s="57"/>
      <c r="H171" s="57"/>
      <c r="I171" s="57"/>
      <c r="J171" s="57"/>
      <c r="K171" s="57"/>
      <c r="L171" s="57"/>
    </row>
    <row r="172" spans="2:44" x14ac:dyDescent="0.2">
      <c r="B172" s="70" t="str">
        <f>"Amounts on Line "&amp;A35&amp;" must match amounts on 6-PlantStudy for Distribution Plant - ISO."</f>
        <v>Amounts on Line 16 must match amounts on 6-PlantStudy for Distribution Plant - ISO.</v>
      </c>
      <c r="C172" s="57"/>
      <c r="D172" s="57"/>
      <c r="E172" s="57"/>
      <c r="F172" s="57"/>
      <c r="G172" s="57"/>
      <c r="H172" s="57"/>
      <c r="I172" s="57"/>
      <c r="J172" s="57"/>
      <c r="K172" s="57"/>
      <c r="L172" s="57"/>
    </row>
    <row r="173" spans="2:44" x14ac:dyDescent="0.2">
      <c r="B173" s="68" t="s">
        <v>550</v>
      </c>
      <c r="C173" s="57"/>
      <c r="D173" s="57"/>
      <c r="E173" s="57"/>
      <c r="F173" s="57"/>
      <c r="G173" s="57"/>
      <c r="H173" s="57"/>
      <c r="I173" s="57"/>
      <c r="J173" s="57"/>
      <c r="K173" s="57"/>
      <c r="L173" s="57"/>
    </row>
    <row r="174" spans="2:44" x14ac:dyDescent="0.2">
      <c r="B174" s="57" t="s">
        <v>764</v>
      </c>
      <c r="C174" s="57"/>
      <c r="D174" s="57"/>
      <c r="E174" s="57"/>
      <c r="F174" s="57"/>
      <c r="G174" s="57"/>
      <c r="H174" s="57"/>
      <c r="I174" s="57"/>
      <c r="J174" s="57"/>
      <c r="K174" s="57"/>
      <c r="L174" s="57"/>
    </row>
    <row r="175" spans="2:44" x14ac:dyDescent="0.2">
      <c r="B175" s="68" t="str">
        <f>"5) Amount in matrix on lines "&amp;A74&amp;" to "&amp;A85&amp;" minus amount in matrix on lines "&amp;A94&amp;" to "&amp;A105&amp;""</f>
        <v>5) Amount in matrix on lines 28 to 39 minus amount in matrix on lines 41 to 52</v>
      </c>
      <c r="C175" s="57"/>
      <c r="D175" s="57"/>
      <c r="E175" s="57"/>
      <c r="F175" s="57"/>
      <c r="G175" s="57"/>
      <c r="H175" s="57"/>
      <c r="I175" s="57"/>
      <c r="J175" s="57"/>
      <c r="K175" s="57"/>
      <c r="L175" s="57"/>
    </row>
    <row r="176" spans="2:44" x14ac:dyDescent="0.2">
      <c r="B176" s="57" t="str">
        <f>"6) Amount on Line "&amp;A23&amp;" less amount on Line "&amp;A11&amp;" for each account."</f>
        <v>6) Amount on Line 13 less amount on Line 1 for each account.</v>
      </c>
      <c r="C176" s="57"/>
      <c r="D176" s="57"/>
      <c r="E176" s="57"/>
      <c r="F176" s="57"/>
      <c r="G176" s="57"/>
      <c r="H176" s="57"/>
      <c r="I176" s="57"/>
      <c r="J176" s="57"/>
      <c r="K176" s="57"/>
      <c r="L176" s="57"/>
    </row>
    <row r="177" spans="2:12" x14ac:dyDescent="0.2">
      <c r="B177" s="57" t="str">
        <f>"7) Line "&amp;A106&amp;""</f>
        <v>7) Line 53</v>
      </c>
      <c r="C177" s="57"/>
      <c r="D177" s="57"/>
      <c r="E177" s="57"/>
      <c r="F177" s="57"/>
      <c r="G177" s="57"/>
      <c r="H177" s="57"/>
      <c r="I177" s="57"/>
      <c r="J177" s="57"/>
      <c r="K177" s="57"/>
      <c r="L177" s="57"/>
    </row>
    <row r="178" spans="2:12" x14ac:dyDescent="0.2">
      <c r="B178" s="57" t="str">
        <f>"8) Amount on Line "&amp;A131&amp;" less amount on Line "&amp;A135&amp;" for each account."</f>
        <v>8) Amount on Line 67 less amount on Line 68 for each account.</v>
      </c>
      <c r="C178" s="57"/>
      <c r="D178" s="57"/>
      <c r="E178" s="57"/>
      <c r="F178" s="57"/>
      <c r="G178" s="57"/>
      <c r="H178" s="57"/>
      <c r="I178" s="57"/>
      <c r="J178" s="57"/>
      <c r="K178" s="57"/>
      <c r="L178" s="57"/>
    </row>
    <row r="179" spans="2:12" x14ac:dyDescent="0.2">
      <c r="B179" s="68" t="str">
        <f>"9) For each column (FERC Account) divide Line "&amp;A139&amp;" by Line "&amp;A126&amp;" to arrive at a ratio for each column."</f>
        <v>9) For each column (FERC Account) divide Line 69 by Line 66 to arrive at a ratio for each column.</v>
      </c>
      <c r="C179" s="57"/>
      <c r="D179" s="57"/>
      <c r="E179" s="57"/>
      <c r="F179" s="57"/>
      <c r="G179" s="57"/>
      <c r="H179" s="57"/>
      <c r="I179" s="57"/>
      <c r="J179" s="57"/>
      <c r="K179" s="57"/>
      <c r="L179" s="57"/>
    </row>
    <row r="180" spans="2:12" x14ac:dyDescent="0.2">
      <c r="B180" s="68" t="str">
        <f>"Apply the ratio of each column to each monthly value from Lines "&amp;A114&amp;"-"&amp;A125&amp;" to calculate the values for"</f>
        <v>Apply the ratio of each column to each monthly value from Lines 54-65 to calculate the values for</v>
      </c>
      <c r="C180" s="57"/>
      <c r="D180" s="57"/>
      <c r="E180" s="57"/>
      <c r="F180" s="57"/>
      <c r="G180" s="57"/>
      <c r="H180" s="57"/>
      <c r="I180" s="57"/>
      <c r="J180" s="57"/>
      <c r="K180" s="57"/>
      <c r="L180" s="57"/>
    </row>
    <row r="181" spans="2:12" x14ac:dyDescent="0.2">
      <c r="B181" s="68" t="str">
        <f>"the corresponsing months listed in Lines "&amp;A146&amp;"-"&amp;A157&amp;"."</f>
        <v>the corresponsing months listed in Lines 70-81.</v>
      </c>
      <c r="C181" s="57"/>
      <c r="D181" s="57"/>
      <c r="E181" s="57"/>
      <c r="F181" s="57"/>
      <c r="G181" s="57"/>
      <c r="H181" s="57"/>
      <c r="I181" s="57"/>
      <c r="J181" s="57"/>
      <c r="K181" s="57"/>
      <c r="L181" s="57"/>
    </row>
    <row r="182" spans="2:12" x14ac:dyDescent="0.2">
      <c r="B182" s="57"/>
      <c r="C182" s="57"/>
      <c r="D182" s="57"/>
      <c r="E182" s="57"/>
      <c r="F182" s="57"/>
      <c r="G182" s="57"/>
      <c r="H182" s="57"/>
      <c r="I182" s="57"/>
      <c r="J182" s="57"/>
      <c r="K182" s="57"/>
      <c r="L182" s="57"/>
    </row>
  </sheetData>
  <pageMargins left="0.75" right="0.75" top="1" bottom="1" header="0.5" footer="0.5"/>
  <pageSetup scale="70" orientation="landscape" cellComments="asDisplayed" r:id="rId1"/>
  <headerFooter alignWithMargins="0">
    <oddHeader>&amp;CSchedule 6
Plant In Service
(Revised 2013 True Up TRR)
&amp;RTO10 Draft Annual Update
Attachment 4
WP-Schedule 3-One Time Adj &amp; True Up Adj
Page &amp;P of &amp;N</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W179"/>
  <sheetViews>
    <sheetView zoomScaleNormal="10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57" customWidth="1"/>
    <col min="16" max="23" width="9.140625" style="57"/>
  </cols>
  <sheetData>
    <row r="1" spans="1:18" x14ac:dyDescent="0.2">
      <c r="A1" s="56" t="s">
        <v>72</v>
      </c>
      <c r="B1" s="56"/>
      <c r="C1" s="144"/>
      <c r="D1" s="144"/>
      <c r="E1" s="144"/>
      <c r="F1" s="144"/>
      <c r="G1" s="144"/>
      <c r="H1" s="144"/>
      <c r="I1" s="144"/>
      <c r="J1" s="431" t="s">
        <v>551</v>
      </c>
      <c r="K1" s="432"/>
      <c r="L1" s="144"/>
      <c r="M1" s="144"/>
      <c r="N1" s="144"/>
      <c r="O1" s="142"/>
      <c r="P1" s="142"/>
      <c r="Q1" s="142"/>
      <c r="R1" s="142"/>
    </row>
    <row r="2" spans="1:18" x14ac:dyDescent="0.2">
      <c r="A2" s="144"/>
      <c r="B2" s="144"/>
      <c r="C2" s="144"/>
      <c r="D2" s="144"/>
      <c r="E2" s="144"/>
      <c r="F2" s="144"/>
      <c r="G2" s="144"/>
      <c r="H2" s="144"/>
      <c r="I2" s="144"/>
      <c r="L2" s="144"/>
      <c r="M2" s="144"/>
      <c r="N2" s="144"/>
      <c r="O2" s="142"/>
      <c r="P2" s="142"/>
      <c r="Q2" s="142"/>
      <c r="R2" s="142"/>
    </row>
    <row r="3" spans="1:18" x14ac:dyDescent="0.2">
      <c r="A3" s="144"/>
      <c r="B3" s="56" t="s">
        <v>552</v>
      </c>
      <c r="C3" s="144"/>
      <c r="D3" s="144"/>
      <c r="E3" s="144"/>
      <c r="F3" s="144"/>
      <c r="G3" s="376" t="s">
        <v>485</v>
      </c>
      <c r="H3" s="143">
        <v>2013</v>
      </c>
      <c r="I3" s="144"/>
      <c r="J3" s="144"/>
      <c r="K3" s="144"/>
      <c r="L3" s="144"/>
      <c r="M3" s="144"/>
      <c r="N3" s="144"/>
      <c r="O3" s="142"/>
      <c r="P3" s="142"/>
      <c r="Q3" s="142"/>
      <c r="R3" s="142"/>
    </row>
    <row r="4" spans="1:18" x14ac:dyDescent="0.2">
      <c r="A4" s="144"/>
      <c r="B4" s="144"/>
      <c r="C4" s="144"/>
      <c r="D4" s="144"/>
      <c r="E4" s="144"/>
      <c r="F4" s="144"/>
      <c r="G4" s="144"/>
      <c r="H4" s="144"/>
      <c r="I4" s="144"/>
      <c r="J4" s="144"/>
      <c r="K4" s="144"/>
      <c r="L4" s="144"/>
      <c r="M4" s="144"/>
      <c r="N4" s="144"/>
      <c r="O4" s="142"/>
      <c r="P4" s="142"/>
      <c r="Q4" s="142"/>
      <c r="R4" s="142"/>
    </row>
    <row r="5" spans="1:18" x14ac:dyDescent="0.2">
      <c r="A5" s="144"/>
      <c r="B5" s="144"/>
      <c r="C5" s="124" t="s">
        <v>553</v>
      </c>
      <c r="D5" s="144"/>
      <c r="E5" s="144"/>
      <c r="F5" s="144"/>
      <c r="G5" s="144"/>
      <c r="H5" s="144"/>
      <c r="I5" s="144"/>
      <c r="J5" s="124"/>
      <c r="K5" s="144"/>
      <c r="L5" s="144"/>
      <c r="M5" s="144"/>
      <c r="N5" s="144"/>
      <c r="O5" s="142"/>
      <c r="P5" s="142"/>
      <c r="Q5" s="142"/>
      <c r="R5" s="142"/>
    </row>
    <row r="6" spans="1:18" x14ac:dyDescent="0.2">
      <c r="A6" s="144"/>
      <c r="B6" s="144"/>
      <c r="C6" s="144"/>
      <c r="D6" s="144"/>
      <c r="E6" s="144"/>
      <c r="F6" s="144"/>
      <c r="G6" s="144"/>
      <c r="H6" s="144"/>
      <c r="I6" s="144"/>
      <c r="J6" s="144"/>
      <c r="K6" s="144"/>
      <c r="L6" s="144"/>
      <c r="M6" s="144"/>
      <c r="N6" s="144"/>
      <c r="O6" s="142"/>
      <c r="P6" s="142"/>
      <c r="Q6" s="142"/>
      <c r="R6" s="142"/>
    </row>
    <row r="7" spans="1:18" x14ac:dyDescent="0.2">
      <c r="A7" s="144"/>
      <c r="B7" s="144"/>
      <c r="C7" s="129" t="s">
        <v>167</v>
      </c>
      <c r="D7" s="129" t="s">
        <v>168</v>
      </c>
      <c r="E7" s="129" t="s">
        <v>184</v>
      </c>
      <c r="F7" s="129" t="s">
        <v>185</v>
      </c>
      <c r="G7" s="129" t="s">
        <v>186</v>
      </c>
      <c r="H7" s="129" t="s">
        <v>187</v>
      </c>
      <c r="I7" s="129" t="s">
        <v>188</v>
      </c>
      <c r="J7" s="129" t="s">
        <v>350</v>
      </c>
      <c r="K7" s="129" t="s">
        <v>404</v>
      </c>
      <c r="L7" s="129" t="s">
        <v>403</v>
      </c>
      <c r="M7" s="129" t="s">
        <v>402</v>
      </c>
      <c r="N7" s="129" t="s">
        <v>401</v>
      </c>
      <c r="O7" s="142"/>
      <c r="P7" s="142"/>
      <c r="Q7" s="142"/>
      <c r="R7" s="142"/>
    </row>
    <row r="8" spans="1:18" x14ac:dyDescent="0.2">
      <c r="A8" s="144"/>
      <c r="B8" s="144"/>
      <c r="C8" s="379"/>
      <c r="D8" s="144"/>
      <c r="E8" s="144"/>
      <c r="F8" s="144"/>
      <c r="G8" s="144"/>
      <c r="H8" s="144"/>
      <c r="I8" s="144"/>
      <c r="J8" s="144"/>
      <c r="K8" s="144"/>
      <c r="L8" s="144"/>
      <c r="M8" s="144"/>
      <c r="N8" s="433" t="s">
        <v>554</v>
      </c>
      <c r="O8" s="142"/>
      <c r="P8" s="142"/>
      <c r="Q8" s="142"/>
      <c r="R8" s="142"/>
    </row>
    <row r="9" spans="1:18" x14ac:dyDescent="0.2">
      <c r="A9" s="144"/>
      <c r="B9" s="144"/>
      <c r="C9" s="378"/>
      <c r="D9" s="434" t="s">
        <v>555</v>
      </c>
      <c r="E9" s="144"/>
      <c r="F9" s="144"/>
      <c r="G9" s="144"/>
      <c r="H9" s="144"/>
      <c r="I9" s="144"/>
      <c r="J9" s="144"/>
      <c r="K9" s="144"/>
      <c r="L9" s="144"/>
      <c r="M9" s="144"/>
      <c r="N9" s="144"/>
      <c r="O9" s="142"/>
      <c r="P9" s="142"/>
      <c r="Q9" s="142"/>
      <c r="R9" s="142"/>
    </row>
    <row r="10" spans="1:18" x14ac:dyDescent="0.2">
      <c r="A10" s="144"/>
      <c r="B10" s="144"/>
      <c r="C10" s="65"/>
      <c r="D10" s="434" t="s">
        <v>556</v>
      </c>
      <c r="E10" s="144"/>
      <c r="F10" s="144"/>
      <c r="G10" s="144"/>
      <c r="H10" s="144"/>
      <c r="I10" s="144"/>
      <c r="J10" s="144"/>
      <c r="K10" s="144"/>
      <c r="L10" s="144"/>
      <c r="M10" s="144"/>
      <c r="N10" s="144"/>
      <c r="O10" s="142"/>
      <c r="P10" s="142"/>
      <c r="Q10" s="142"/>
      <c r="R10" s="142"/>
    </row>
    <row r="11" spans="1:18" ht="12.75" customHeight="1" x14ac:dyDescent="0.2">
      <c r="A11" s="63" t="s">
        <v>170</v>
      </c>
      <c r="B11" s="63"/>
      <c r="C11" s="101" t="s">
        <v>487</v>
      </c>
      <c r="D11" s="129">
        <v>350.1</v>
      </c>
      <c r="E11" s="129">
        <v>350.2</v>
      </c>
      <c r="F11" s="129">
        <v>352</v>
      </c>
      <c r="G11" s="129">
        <v>353</v>
      </c>
      <c r="H11" s="129">
        <v>354</v>
      </c>
      <c r="I11" s="129">
        <v>355</v>
      </c>
      <c r="J11" s="129">
        <v>356</v>
      </c>
      <c r="K11" s="129">
        <v>357</v>
      </c>
      <c r="L11" s="129">
        <v>358</v>
      </c>
      <c r="M11" s="129">
        <v>359</v>
      </c>
      <c r="N11" s="64" t="s">
        <v>169</v>
      </c>
      <c r="O11" s="142"/>
      <c r="P11" s="142"/>
      <c r="Q11" s="142"/>
      <c r="R11" s="142"/>
    </row>
    <row r="12" spans="1:18" ht="12.75" customHeight="1" x14ac:dyDescent="0.2">
      <c r="A12" s="60">
        <v>1</v>
      </c>
      <c r="B12" s="60"/>
      <c r="C12" s="385" t="s">
        <v>488</v>
      </c>
      <c r="D12" s="160">
        <v>0</v>
      </c>
      <c r="E12" s="160">
        <v>8231994.0941873183</v>
      </c>
      <c r="F12" s="160">
        <v>42523725.49049975</v>
      </c>
      <c r="G12" s="160">
        <v>271683763.17867076</v>
      </c>
      <c r="H12" s="160">
        <v>347983565.91622216</v>
      </c>
      <c r="I12" s="160">
        <v>34194091.977554627</v>
      </c>
      <c r="J12" s="160">
        <v>318973818.09779328</v>
      </c>
      <c r="K12" s="160">
        <v>264938.05872218398</v>
      </c>
      <c r="L12" s="160">
        <v>1566128.8426273782</v>
      </c>
      <c r="M12" s="160">
        <v>1034624.4293442698</v>
      </c>
      <c r="N12" s="187">
        <f>SUM(D12:M12)</f>
        <v>1026456650.0856217</v>
      </c>
      <c r="O12" s="142"/>
      <c r="P12" s="142"/>
      <c r="Q12" s="142"/>
      <c r="R12" s="142"/>
    </row>
    <row r="13" spans="1:18" ht="12.75" customHeight="1" x14ac:dyDescent="0.2">
      <c r="A13" s="60">
        <f>A12+1</f>
        <v>2</v>
      </c>
      <c r="B13" s="60"/>
      <c r="C13" s="382" t="s">
        <v>489</v>
      </c>
      <c r="D13" s="184">
        <v>0</v>
      </c>
      <c r="E13" s="384">
        <f t="shared" ref="E13:M23" si="0">E144+E91+E12</f>
        <v>8374915.5627238099</v>
      </c>
      <c r="F13" s="184">
        <f t="shared" si="0"/>
        <v>43638501.894125871</v>
      </c>
      <c r="G13" s="384">
        <f t="shared" si="0"/>
        <v>295862665.24853116</v>
      </c>
      <c r="H13" s="184">
        <f t="shared" si="0"/>
        <v>331247050.2291435</v>
      </c>
      <c r="I13" s="184">
        <f t="shared" si="0"/>
        <v>37492773.920389198</v>
      </c>
      <c r="J13" s="184">
        <f t="shared" si="0"/>
        <v>341665390.61191106</v>
      </c>
      <c r="K13" s="184">
        <f t="shared" si="0"/>
        <v>256158.08018704614</v>
      </c>
      <c r="L13" s="184">
        <f t="shared" si="0"/>
        <v>1820852.7573243456</v>
      </c>
      <c r="M13" s="184">
        <f t="shared" si="0"/>
        <v>-2881268.6174776894</v>
      </c>
      <c r="N13" s="384">
        <f t="shared" ref="N13:N24" si="1">SUM(D13:M13)</f>
        <v>1057477039.6868583</v>
      </c>
      <c r="O13" s="142"/>
      <c r="P13" s="142"/>
      <c r="Q13" s="142"/>
      <c r="R13" s="142"/>
    </row>
    <row r="14" spans="1:18" ht="12.75" customHeight="1" x14ac:dyDescent="0.2">
      <c r="A14" s="60">
        <f t="shared" ref="A14:A25" si="2">A13+1</f>
        <v>3</v>
      </c>
      <c r="B14" s="60"/>
      <c r="C14" s="385" t="s">
        <v>490</v>
      </c>
      <c r="D14" s="184">
        <v>0</v>
      </c>
      <c r="E14" s="384">
        <f t="shared" si="0"/>
        <v>8541169.1959074065</v>
      </c>
      <c r="F14" s="184">
        <f t="shared" si="0"/>
        <v>43970190.232412539</v>
      </c>
      <c r="G14" s="384">
        <f t="shared" si="0"/>
        <v>304468901.8649869</v>
      </c>
      <c r="H14" s="184">
        <f t="shared" si="0"/>
        <v>321951982.25878119</v>
      </c>
      <c r="I14" s="184">
        <f t="shared" si="0"/>
        <v>34753286.271510139</v>
      </c>
      <c r="J14" s="184">
        <f t="shared" si="0"/>
        <v>356459945.54038513</v>
      </c>
      <c r="K14" s="184">
        <f t="shared" si="0"/>
        <v>244306.37562077923</v>
      </c>
      <c r="L14" s="184">
        <f t="shared" si="0"/>
        <v>2112998.5819042232</v>
      </c>
      <c r="M14" s="184">
        <f t="shared" si="0"/>
        <v>-4016778.9530450441</v>
      </c>
      <c r="N14" s="384">
        <f t="shared" si="1"/>
        <v>1068486001.3684632</v>
      </c>
      <c r="O14" s="142"/>
      <c r="P14" s="142"/>
      <c r="Q14" s="142"/>
      <c r="R14" s="142"/>
    </row>
    <row r="15" spans="1:18" ht="12.75" customHeight="1" x14ac:dyDescent="0.2">
      <c r="A15" s="60">
        <f t="shared" si="2"/>
        <v>4</v>
      </c>
      <c r="B15" s="60"/>
      <c r="C15" s="385" t="s">
        <v>491</v>
      </c>
      <c r="D15" s="184">
        <v>0</v>
      </c>
      <c r="E15" s="384">
        <f t="shared" si="0"/>
        <v>8711141.6343149152</v>
      </c>
      <c r="F15" s="184">
        <f t="shared" si="0"/>
        <v>44087718.973976828</v>
      </c>
      <c r="G15" s="384">
        <f t="shared" si="0"/>
        <v>314531112.44708312</v>
      </c>
      <c r="H15" s="184">
        <f t="shared" si="0"/>
        <v>327064228.1287936</v>
      </c>
      <c r="I15" s="184">
        <f t="shared" si="0"/>
        <v>28606586.983674619</v>
      </c>
      <c r="J15" s="184">
        <f t="shared" si="0"/>
        <v>328865244.67640781</v>
      </c>
      <c r="K15" s="184">
        <f t="shared" si="0"/>
        <v>230759.15832577602</v>
      </c>
      <c r="L15" s="184">
        <f t="shared" si="0"/>
        <v>2535147.335969164</v>
      </c>
      <c r="M15" s="184">
        <f t="shared" si="0"/>
        <v>-44115.108028279617</v>
      </c>
      <c r="N15" s="384">
        <f t="shared" si="1"/>
        <v>1054587824.2305176</v>
      </c>
      <c r="O15" s="142"/>
      <c r="P15" s="142"/>
      <c r="Q15" s="142"/>
      <c r="R15" s="142"/>
    </row>
    <row r="16" spans="1:18" ht="12.75" customHeight="1" x14ac:dyDescent="0.2">
      <c r="A16" s="60">
        <f t="shared" si="2"/>
        <v>5</v>
      </c>
      <c r="B16" s="60"/>
      <c r="C16" s="382" t="s">
        <v>531</v>
      </c>
      <c r="D16" s="184">
        <v>0</v>
      </c>
      <c r="E16" s="384">
        <f t="shared" si="0"/>
        <v>8881273.8456209656</v>
      </c>
      <c r="F16" s="184">
        <f t="shared" si="0"/>
        <v>44780727.763896607</v>
      </c>
      <c r="G16" s="384">
        <f t="shared" si="0"/>
        <v>323670549.31808394</v>
      </c>
      <c r="H16" s="184">
        <f t="shared" si="0"/>
        <v>326335348.89049464</v>
      </c>
      <c r="I16" s="184">
        <f t="shared" si="0"/>
        <v>29941569.033940159</v>
      </c>
      <c r="J16" s="184">
        <f t="shared" si="0"/>
        <v>330848308.14514238</v>
      </c>
      <c r="K16" s="184">
        <f t="shared" si="0"/>
        <v>220240.55618673368</v>
      </c>
      <c r="L16" s="184">
        <f t="shared" si="0"/>
        <v>2805039.1344047412</v>
      </c>
      <c r="M16" s="184">
        <f t="shared" si="0"/>
        <v>-269547.90393153182</v>
      </c>
      <c r="N16" s="384">
        <f t="shared" si="1"/>
        <v>1067213508.7838387</v>
      </c>
      <c r="O16" s="142"/>
      <c r="P16" s="142"/>
      <c r="Q16" s="142"/>
      <c r="R16" s="142"/>
    </row>
    <row r="17" spans="1:18" ht="12.75" customHeight="1" x14ac:dyDescent="0.2">
      <c r="A17" s="60">
        <f t="shared" si="2"/>
        <v>6</v>
      </c>
      <c r="B17" s="60"/>
      <c r="C17" s="385" t="s">
        <v>493</v>
      </c>
      <c r="D17" s="184">
        <v>0</v>
      </c>
      <c r="E17" s="384">
        <f t="shared" si="0"/>
        <v>9051370.0790139884</v>
      </c>
      <c r="F17" s="184">
        <f t="shared" si="0"/>
        <v>45535230.604164913</v>
      </c>
      <c r="G17" s="384">
        <f t="shared" si="0"/>
        <v>331202212.59743339</v>
      </c>
      <c r="H17" s="184">
        <f t="shared" si="0"/>
        <v>325997505.84473217</v>
      </c>
      <c r="I17" s="184">
        <f t="shared" si="0"/>
        <v>28892209.130921822</v>
      </c>
      <c r="J17" s="184">
        <f t="shared" si="0"/>
        <v>311012217.71860415</v>
      </c>
      <c r="K17" s="184">
        <f t="shared" si="0"/>
        <v>219371.42053701502</v>
      </c>
      <c r="L17" s="184">
        <f t="shared" si="0"/>
        <v>2832537.6341112871</v>
      </c>
      <c r="M17" s="184">
        <f t="shared" si="0"/>
        <v>-430858.10392082622</v>
      </c>
      <c r="N17" s="384">
        <f t="shared" si="1"/>
        <v>1054311796.9255979</v>
      </c>
      <c r="O17" s="142"/>
      <c r="P17" s="142"/>
      <c r="Q17" s="142"/>
      <c r="R17" s="142"/>
    </row>
    <row r="18" spans="1:18" ht="12.75" customHeight="1" x14ac:dyDescent="0.2">
      <c r="A18" s="60">
        <f t="shared" si="2"/>
        <v>7</v>
      </c>
      <c r="B18" s="60"/>
      <c r="C18" s="385" t="s">
        <v>494</v>
      </c>
      <c r="D18" s="184">
        <v>0</v>
      </c>
      <c r="E18" s="384">
        <f t="shared" si="0"/>
        <v>9226524.8951351922</v>
      </c>
      <c r="F18" s="184">
        <f t="shared" si="0"/>
        <v>46178535.909853451</v>
      </c>
      <c r="G18" s="384">
        <f t="shared" si="0"/>
        <v>349429727.32346702</v>
      </c>
      <c r="H18" s="184">
        <f t="shared" si="0"/>
        <v>324479450.54121363</v>
      </c>
      <c r="I18" s="184">
        <f t="shared" si="0"/>
        <v>27718300.023017947</v>
      </c>
      <c r="J18" s="184">
        <f t="shared" si="0"/>
        <v>319053319.08914876</v>
      </c>
      <c r="K18" s="184">
        <f t="shared" si="0"/>
        <v>212423.10624017491</v>
      </c>
      <c r="L18" s="184">
        <f t="shared" si="0"/>
        <v>3050723.0353450356</v>
      </c>
      <c r="M18" s="184">
        <f t="shared" si="0"/>
        <v>-1031895.2473735509</v>
      </c>
      <c r="N18" s="384">
        <f t="shared" si="1"/>
        <v>1078317108.6760478</v>
      </c>
      <c r="O18" s="142"/>
      <c r="P18" s="142"/>
      <c r="Q18" s="142"/>
      <c r="R18" s="142"/>
    </row>
    <row r="19" spans="1:18" ht="12.75" customHeight="1" x14ac:dyDescent="0.2">
      <c r="A19" s="60">
        <f t="shared" si="2"/>
        <v>8</v>
      </c>
      <c r="B19" s="60"/>
      <c r="C19" s="382" t="s">
        <v>495</v>
      </c>
      <c r="D19" s="184">
        <v>0</v>
      </c>
      <c r="E19" s="384">
        <f t="shared" si="0"/>
        <v>9391263.6985959634</v>
      </c>
      <c r="F19" s="184">
        <f t="shared" si="0"/>
        <v>47624791.461990811</v>
      </c>
      <c r="G19" s="384">
        <f t="shared" si="0"/>
        <v>358737789.22707695</v>
      </c>
      <c r="H19" s="184">
        <f t="shared" si="0"/>
        <v>322730694.8376404</v>
      </c>
      <c r="I19" s="184">
        <f t="shared" si="0"/>
        <v>27993400.789484013</v>
      </c>
      <c r="J19" s="184">
        <f t="shared" si="0"/>
        <v>318408513.23536283</v>
      </c>
      <c r="K19" s="184">
        <f t="shared" si="0"/>
        <v>198126.66798733058</v>
      </c>
      <c r="L19" s="184">
        <f t="shared" si="0"/>
        <v>3352999.9776396812</v>
      </c>
      <c r="M19" s="184">
        <f t="shared" si="0"/>
        <v>-1043097.2808580406</v>
      </c>
      <c r="N19" s="384">
        <f t="shared" si="1"/>
        <v>1087394482.6149199</v>
      </c>
      <c r="O19" s="142"/>
      <c r="P19" s="142"/>
      <c r="Q19" s="142"/>
      <c r="R19" s="142"/>
    </row>
    <row r="20" spans="1:18" ht="12.75" customHeight="1" x14ac:dyDescent="0.2">
      <c r="A20" s="60">
        <f t="shared" si="2"/>
        <v>9</v>
      </c>
      <c r="B20" s="60"/>
      <c r="C20" s="385" t="s">
        <v>496</v>
      </c>
      <c r="D20" s="184">
        <v>0</v>
      </c>
      <c r="E20" s="384">
        <f t="shared" si="0"/>
        <v>9539290.7736309208</v>
      </c>
      <c r="F20" s="184">
        <f t="shared" si="0"/>
        <v>48110449.799208455</v>
      </c>
      <c r="G20" s="384">
        <f t="shared" si="0"/>
        <v>344730628.49409598</v>
      </c>
      <c r="H20" s="184">
        <f t="shared" si="0"/>
        <v>323210271.26743287</v>
      </c>
      <c r="I20" s="184">
        <f t="shared" si="0"/>
        <v>24593611.220099419</v>
      </c>
      <c r="J20" s="184">
        <f t="shared" si="0"/>
        <v>319071850.63160682</v>
      </c>
      <c r="K20" s="184">
        <f t="shared" si="0"/>
        <v>185556.36167917497</v>
      </c>
      <c r="L20" s="184">
        <f t="shared" si="0"/>
        <v>3604137.8852978195</v>
      </c>
      <c r="M20" s="184">
        <f t="shared" si="0"/>
        <v>-1357899.2072662266</v>
      </c>
      <c r="N20" s="384">
        <f t="shared" si="1"/>
        <v>1071687897.2257853</v>
      </c>
      <c r="O20" s="142"/>
      <c r="P20" s="142"/>
      <c r="Q20" s="142"/>
      <c r="R20" s="142"/>
    </row>
    <row r="21" spans="1:18" ht="12.75" customHeight="1" x14ac:dyDescent="0.2">
      <c r="A21" s="60">
        <f t="shared" si="2"/>
        <v>10</v>
      </c>
      <c r="B21" s="60"/>
      <c r="C21" s="385" t="s">
        <v>497</v>
      </c>
      <c r="D21" s="184">
        <v>0</v>
      </c>
      <c r="E21" s="384">
        <f t="shared" si="0"/>
        <v>9709760.4799383264</v>
      </c>
      <c r="F21" s="184">
        <f t="shared" si="0"/>
        <v>48654427.417953864</v>
      </c>
      <c r="G21" s="384">
        <f t="shared" si="0"/>
        <v>354202490.84940481</v>
      </c>
      <c r="H21" s="184">
        <f t="shared" si="0"/>
        <v>322920436.76647526</v>
      </c>
      <c r="I21" s="184">
        <f t="shared" si="0"/>
        <v>26588718.866780035</v>
      </c>
      <c r="J21" s="184">
        <f t="shared" si="0"/>
        <v>315628012.50959736</v>
      </c>
      <c r="K21" s="184">
        <f t="shared" si="0"/>
        <v>170373.17653748509</v>
      </c>
      <c r="L21" s="184">
        <f t="shared" si="0"/>
        <v>3849967.9712831378</v>
      </c>
      <c r="M21" s="184">
        <f t="shared" si="0"/>
        <v>2157406.3741393844</v>
      </c>
      <c r="N21" s="384">
        <f t="shared" si="1"/>
        <v>1083881594.4121096</v>
      </c>
      <c r="O21" s="142"/>
      <c r="P21" s="142"/>
      <c r="Q21" s="142"/>
      <c r="R21" s="142"/>
    </row>
    <row r="22" spans="1:18" ht="12.75" customHeight="1" x14ac:dyDescent="0.2">
      <c r="A22" s="60">
        <f t="shared" si="2"/>
        <v>11</v>
      </c>
      <c r="B22" s="60"/>
      <c r="C22" s="382" t="s">
        <v>498</v>
      </c>
      <c r="D22" s="184">
        <v>0</v>
      </c>
      <c r="E22" s="384">
        <f t="shared" si="0"/>
        <v>9884279.716878457</v>
      </c>
      <c r="F22" s="184">
        <f t="shared" si="0"/>
        <v>49710924.798222728</v>
      </c>
      <c r="G22" s="384">
        <f t="shared" si="0"/>
        <v>370353963.26523411</v>
      </c>
      <c r="H22" s="184">
        <f t="shared" si="0"/>
        <v>339717879.42701286</v>
      </c>
      <c r="I22" s="184">
        <f t="shared" si="0"/>
        <v>21367036.538173113</v>
      </c>
      <c r="J22" s="184">
        <f t="shared" si="0"/>
        <v>306670868.88460571</v>
      </c>
      <c r="K22" s="184">
        <f t="shared" si="0"/>
        <v>155993.44191871281</v>
      </c>
      <c r="L22" s="184">
        <f t="shared" si="0"/>
        <v>4118223.5812858189</v>
      </c>
      <c r="M22" s="184">
        <f t="shared" si="0"/>
        <v>2263807.7806408447</v>
      </c>
      <c r="N22" s="384">
        <f t="shared" si="1"/>
        <v>1104242977.4339721</v>
      </c>
      <c r="O22" s="142"/>
      <c r="P22" s="142"/>
      <c r="Q22" s="142"/>
      <c r="R22" s="142"/>
    </row>
    <row r="23" spans="1:18" ht="12.75" customHeight="1" x14ac:dyDescent="0.2">
      <c r="A23" s="60">
        <f t="shared" si="2"/>
        <v>12</v>
      </c>
      <c r="B23" s="60"/>
      <c r="C23" s="382" t="s">
        <v>499</v>
      </c>
      <c r="D23" s="184">
        <v>0</v>
      </c>
      <c r="E23" s="384">
        <f t="shared" si="0"/>
        <v>10050821.634269817</v>
      </c>
      <c r="F23" s="184">
        <f t="shared" si="0"/>
        <v>50189746.602933504</v>
      </c>
      <c r="G23" s="384">
        <f t="shared" si="0"/>
        <v>360548201.8538087</v>
      </c>
      <c r="H23" s="184">
        <f t="shared" si="0"/>
        <v>339067659.93905634</v>
      </c>
      <c r="I23" s="184">
        <f t="shared" si="0"/>
        <v>24548277.369308274</v>
      </c>
      <c r="J23" s="184">
        <f t="shared" si="0"/>
        <v>324619885.83855551</v>
      </c>
      <c r="K23" s="184">
        <f t="shared" si="0"/>
        <v>140643.66466006701</v>
      </c>
      <c r="L23" s="184">
        <f t="shared" si="0"/>
        <v>4415229.414145818</v>
      </c>
      <c r="M23" s="184">
        <f t="shared" si="0"/>
        <v>2358629.1793897138</v>
      </c>
      <c r="N23" s="384">
        <f t="shared" si="1"/>
        <v>1115939095.4961276</v>
      </c>
      <c r="O23" s="142"/>
      <c r="P23" s="142"/>
      <c r="Q23" s="142"/>
      <c r="R23" s="142"/>
    </row>
    <row r="24" spans="1:18" x14ac:dyDescent="0.2">
      <c r="A24" s="60">
        <f t="shared" si="2"/>
        <v>13</v>
      </c>
      <c r="B24" s="60"/>
      <c r="C24" s="385" t="s">
        <v>500</v>
      </c>
      <c r="D24" s="303">
        <v>0</v>
      </c>
      <c r="E24" s="303">
        <v>10232181.18436276</v>
      </c>
      <c r="F24" s="303">
        <v>47045399.753286369</v>
      </c>
      <c r="G24" s="303">
        <v>298298615.16337866</v>
      </c>
      <c r="H24" s="303">
        <v>339298041.40666431</v>
      </c>
      <c r="I24" s="303">
        <v>30570487.939980671</v>
      </c>
      <c r="J24" s="303">
        <v>328550027.61558199</v>
      </c>
      <c r="K24" s="303">
        <v>126173.83034882502</v>
      </c>
      <c r="L24" s="303">
        <v>4575381.3621812938</v>
      </c>
      <c r="M24" s="303">
        <v>2419397.1271384661</v>
      </c>
      <c r="N24" s="427">
        <f t="shared" si="1"/>
        <v>1061115705.3829234</v>
      </c>
      <c r="O24" s="142"/>
      <c r="P24" s="142"/>
      <c r="Q24" s="142"/>
      <c r="R24" s="142"/>
    </row>
    <row r="25" spans="1:18" x14ac:dyDescent="0.2">
      <c r="A25" s="60">
        <f t="shared" si="2"/>
        <v>14</v>
      </c>
      <c r="B25" s="144"/>
      <c r="C25" s="393" t="s">
        <v>501</v>
      </c>
      <c r="D25" s="187">
        <f t="shared" ref="D25:M25" si="3">AVERAGE(D12:D24)</f>
        <v>0</v>
      </c>
      <c r="E25" s="384">
        <f>AVERAGE(E12:E24)</f>
        <v>9217383.5995830651</v>
      </c>
      <c r="F25" s="187">
        <f t="shared" si="3"/>
        <v>46311566.977117367</v>
      </c>
      <c r="G25" s="384">
        <f t="shared" si="3"/>
        <v>329055432.37163502</v>
      </c>
      <c r="H25" s="187">
        <f t="shared" si="3"/>
        <v>330154162.7272048</v>
      </c>
      <c r="I25" s="187">
        <f t="shared" si="3"/>
        <v>29020026.928064164</v>
      </c>
      <c r="J25" s="187">
        <f t="shared" si="3"/>
        <v>324602107.89190024</v>
      </c>
      <c r="K25" s="187">
        <f t="shared" si="3"/>
        <v>201927.99222702344</v>
      </c>
      <c r="L25" s="187">
        <f t="shared" si="3"/>
        <v>3126105.1933476725</v>
      </c>
      <c r="M25" s="187">
        <f t="shared" si="3"/>
        <v>-64738.117788346841</v>
      </c>
      <c r="N25" s="384">
        <f>AVERAGE(N12:N24)</f>
        <v>1071623975.5632911</v>
      </c>
      <c r="O25" s="142"/>
      <c r="P25" s="142"/>
      <c r="Q25" s="142"/>
      <c r="R25" s="142"/>
    </row>
    <row r="26" spans="1:18" x14ac:dyDescent="0.2">
      <c r="A26" s="144"/>
      <c r="B26" s="144"/>
      <c r="C26" s="144"/>
      <c r="D26" s="144"/>
      <c r="E26" s="144"/>
      <c r="F26" s="144"/>
      <c r="G26" s="144"/>
      <c r="H26" s="144"/>
      <c r="I26" s="144"/>
      <c r="J26" s="144"/>
      <c r="K26" s="144"/>
      <c r="L26" s="144"/>
      <c r="M26" s="144"/>
      <c r="N26" s="144"/>
      <c r="O26" s="142"/>
      <c r="P26" s="142"/>
      <c r="Q26" s="142"/>
      <c r="R26" s="142"/>
    </row>
    <row r="27" spans="1:18" x14ac:dyDescent="0.2">
      <c r="A27" s="144"/>
      <c r="B27" s="375" t="s">
        <v>557</v>
      </c>
      <c r="C27" s="144"/>
      <c r="D27" s="144"/>
      <c r="E27" s="144"/>
      <c r="F27" s="144"/>
      <c r="G27" s="144"/>
      <c r="H27" s="144"/>
      <c r="I27" s="144"/>
      <c r="J27" s="144"/>
      <c r="K27" s="144"/>
      <c r="L27" s="144"/>
      <c r="M27" s="144"/>
      <c r="N27" s="144"/>
      <c r="O27" s="142"/>
      <c r="P27" s="142"/>
      <c r="Q27" s="142"/>
      <c r="R27" s="142"/>
    </row>
    <row r="28" spans="1:18" x14ac:dyDescent="0.2">
      <c r="A28" s="144"/>
      <c r="B28" s="375"/>
      <c r="C28" s="144"/>
      <c r="D28" s="144"/>
      <c r="E28" s="144"/>
      <c r="F28" s="144"/>
      <c r="G28" s="144"/>
      <c r="H28" s="144"/>
      <c r="I28" s="144"/>
      <c r="J28" s="144"/>
      <c r="K28" s="144"/>
      <c r="L28" s="144"/>
      <c r="M28" s="144"/>
      <c r="N28" s="144"/>
      <c r="O28" s="142"/>
      <c r="P28" s="142"/>
      <c r="Q28" s="142"/>
      <c r="R28" s="142"/>
    </row>
    <row r="29" spans="1:18" x14ac:dyDescent="0.2">
      <c r="A29" s="144"/>
      <c r="B29" s="144"/>
      <c r="C29" s="129" t="s">
        <v>167</v>
      </c>
      <c r="D29" s="129" t="s">
        <v>168</v>
      </c>
      <c r="E29" s="129" t="s">
        <v>184</v>
      </c>
      <c r="F29" s="129" t="s">
        <v>185</v>
      </c>
      <c r="G29" s="129" t="s">
        <v>186</v>
      </c>
      <c r="H29" s="144"/>
      <c r="I29" s="144"/>
      <c r="J29" s="144"/>
      <c r="K29" s="144"/>
      <c r="L29" s="144"/>
      <c r="M29" s="144"/>
      <c r="N29" s="144"/>
      <c r="O29" s="142"/>
      <c r="P29" s="142"/>
      <c r="Q29" s="142"/>
      <c r="R29" s="142"/>
    </row>
    <row r="30" spans="1:18" x14ac:dyDescent="0.2">
      <c r="A30" s="144"/>
      <c r="B30" s="144"/>
      <c r="C30" s="144"/>
      <c r="D30" s="434" t="s">
        <v>555</v>
      </c>
      <c r="E30" s="144"/>
      <c r="F30" s="144"/>
      <c r="G30" s="433" t="s">
        <v>558</v>
      </c>
      <c r="H30" s="144"/>
      <c r="I30" s="144"/>
      <c r="J30" s="144"/>
      <c r="K30" s="144"/>
      <c r="L30" s="144"/>
      <c r="M30" s="144"/>
      <c r="N30" s="144"/>
      <c r="O30" s="149"/>
      <c r="P30" s="142"/>
      <c r="Q30" s="142"/>
      <c r="R30" s="142"/>
    </row>
    <row r="31" spans="1:18" x14ac:dyDescent="0.2">
      <c r="A31" s="144"/>
      <c r="B31" s="144"/>
      <c r="C31" s="144"/>
      <c r="D31" s="434" t="s">
        <v>556</v>
      </c>
      <c r="E31" s="144"/>
      <c r="F31" s="144"/>
      <c r="G31" s="144"/>
      <c r="H31" s="144"/>
      <c r="I31" s="144"/>
      <c r="J31" s="144"/>
      <c r="K31" s="144"/>
      <c r="L31" s="144"/>
      <c r="M31" s="144"/>
      <c r="N31" s="144"/>
      <c r="O31" s="161"/>
      <c r="P31" s="142"/>
      <c r="Q31" s="142"/>
      <c r="R31" s="142"/>
    </row>
    <row r="32" spans="1:18" x14ac:dyDescent="0.2">
      <c r="A32" s="144"/>
      <c r="B32" s="144"/>
      <c r="C32" s="101" t="s">
        <v>487</v>
      </c>
      <c r="D32" s="129">
        <v>360</v>
      </c>
      <c r="E32" s="129">
        <v>361</v>
      </c>
      <c r="F32" s="129">
        <v>362</v>
      </c>
      <c r="G32" s="64" t="s">
        <v>169</v>
      </c>
      <c r="H32" s="435" t="s">
        <v>53</v>
      </c>
      <c r="I32" s="142"/>
      <c r="J32" s="142"/>
      <c r="K32" s="144"/>
      <c r="L32" s="144"/>
      <c r="M32" s="144"/>
      <c r="N32" s="144"/>
      <c r="O32" s="161"/>
      <c r="P32" s="142"/>
      <c r="Q32" s="142"/>
      <c r="R32" s="142"/>
    </row>
    <row r="33" spans="1:18" x14ac:dyDescent="0.2">
      <c r="A33" s="60">
        <f>A25+1</f>
        <v>15</v>
      </c>
      <c r="C33" s="385" t="s">
        <v>488</v>
      </c>
      <c r="D33" s="174">
        <v>4598.1400000000003</v>
      </c>
      <c r="E33" s="174">
        <v>260420.81</v>
      </c>
      <c r="F33" s="174">
        <v>897200.87</v>
      </c>
      <c r="G33" s="187">
        <f>SUM(D33:F33)</f>
        <v>1162219.82</v>
      </c>
      <c r="H33" s="70" t="s">
        <v>559</v>
      </c>
      <c r="I33" s="142"/>
      <c r="J33" s="142"/>
      <c r="K33" s="144"/>
      <c r="L33" s="144"/>
      <c r="M33" s="144"/>
      <c r="N33" s="144"/>
      <c r="O33" s="161"/>
      <c r="P33" s="142"/>
      <c r="Q33" s="142"/>
      <c r="R33" s="142"/>
    </row>
    <row r="34" spans="1:18" x14ac:dyDescent="0.2">
      <c r="A34" s="60">
        <v>16</v>
      </c>
      <c r="C34" s="385" t="s">
        <v>500</v>
      </c>
      <c r="D34" s="394">
        <v>0</v>
      </c>
      <c r="E34" s="394">
        <v>0</v>
      </c>
      <c r="F34" s="394">
        <v>0</v>
      </c>
      <c r="G34" s="395">
        <f>SUM(D34:F34)</f>
        <v>0</v>
      </c>
      <c r="H34" s="70" t="s">
        <v>560</v>
      </c>
      <c r="I34" s="142"/>
      <c r="J34" s="142"/>
      <c r="K34" s="144"/>
      <c r="L34" s="144"/>
      <c r="O34" s="161"/>
      <c r="P34" s="142"/>
      <c r="Q34" s="142"/>
      <c r="R34" s="142"/>
    </row>
    <row r="35" spans="1:18" x14ac:dyDescent="0.2">
      <c r="A35" s="60">
        <f>A34+1</f>
        <v>17</v>
      </c>
      <c r="C35" s="436" t="s">
        <v>561</v>
      </c>
      <c r="D35" s="187">
        <f>AVERAGE(D33:D34)</f>
        <v>2299.0700000000002</v>
      </c>
      <c r="E35" s="187">
        <f>AVERAGE(E33:E34)</f>
        <v>130210.405</v>
      </c>
      <c r="F35" s="187">
        <f>AVERAGE(F33:F34)</f>
        <v>448600.435</v>
      </c>
      <c r="G35" s="187">
        <f>AVERAGE(G33:G34)</f>
        <v>581109.91</v>
      </c>
      <c r="H35" s="157" t="str">
        <f>"Average of Line "&amp;A33&amp;" and Line "&amp;A34&amp;""</f>
        <v>Average of Line 15 and Line 16</v>
      </c>
      <c r="I35" s="144"/>
      <c r="J35" s="144"/>
      <c r="K35" s="144"/>
      <c r="M35" s="118"/>
      <c r="N35" s="146"/>
      <c r="O35" s="161"/>
      <c r="P35" s="142"/>
      <c r="Q35" s="142"/>
      <c r="R35" s="142"/>
    </row>
    <row r="36" spans="1:18" x14ac:dyDescent="0.2">
      <c r="C36" s="436"/>
      <c r="I36" s="144"/>
      <c r="J36" s="144"/>
      <c r="K36" s="144"/>
      <c r="M36" s="209"/>
      <c r="N36" s="119"/>
      <c r="O36" s="161"/>
      <c r="P36" s="142"/>
      <c r="Q36" s="142"/>
      <c r="R36" s="142"/>
    </row>
    <row r="37" spans="1:18" x14ac:dyDescent="0.2">
      <c r="B37" s="375" t="s">
        <v>562</v>
      </c>
      <c r="I37" s="144"/>
      <c r="J37" s="144"/>
      <c r="K37" s="144"/>
      <c r="L37" s="144"/>
      <c r="M37" s="118"/>
      <c r="N37" s="119"/>
      <c r="O37" s="161"/>
      <c r="P37" s="142"/>
      <c r="Q37" s="142"/>
      <c r="R37" s="142"/>
    </row>
    <row r="38" spans="1:18" ht="15" x14ac:dyDescent="0.25">
      <c r="B38" s="437"/>
      <c r="C38" s="314" t="s">
        <v>167</v>
      </c>
      <c r="D38" s="314" t="s">
        <v>168</v>
      </c>
      <c r="E38" s="314" t="s">
        <v>184</v>
      </c>
      <c r="F38" s="314" t="s">
        <v>185</v>
      </c>
      <c r="G38" s="314" t="s">
        <v>186</v>
      </c>
      <c r="J38" s="144"/>
      <c r="K38" s="438"/>
      <c r="L38" s="144"/>
      <c r="O38" s="142"/>
      <c r="P38" s="142"/>
      <c r="Q38" s="142"/>
      <c r="R38" s="142"/>
    </row>
    <row r="39" spans="1:18" ht="15" x14ac:dyDescent="0.25">
      <c r="B39" s="437"/>
      <c r="C39" s="314"/>
      <c r="D39" s="314"/>
      <c r="E39" s="111" t="s">
        <v>563</v>
      </c>
      <c r="F39" s="314"/>
      <c r="G39" s="314"/>
      <c r="J39" s="144"/>
      <c r="K39" s="438"/>
      <c r="L39" s="144"/>
      <c r="O39" s="142"/>
      <c r="P39" s="142"/>
      <c r="Q39" s="142"/>
      <c r="R39" s="142"/>
    </row>
    <row r="40" spans="1:18" x14ac:dyDescent="0.2">
      <c r="C40" s="57"/>
      <c r="D40" s="57"/>
      <c r="E40" s="378" t="s">
        <v>169</v>
      </c>
      <c r="F40" s="57"/>
      <c r="G40" s="57"/>
      <c r="J40" s="144"/>
      <c r="K40" s="438"/>
      <c r="L40" s="144"/>
      <c r="O40" s="142"/>
      <c r="P40" s="142"/>
      <c r="Q40" s="142"/>
      <c r="R40" s="142"/>
    </row>
    <row r="41" spans="1:18" x14ac:dyDescent="0.2">
      <c r="B41" s="144"/>
      <c r="C41" s="57"/>
      <c r="D41" s="142"/>
      <c r="E41" s="378" t="s">
        <v>564</v>
      </c>
      <c r="F41" s="65" t="s">
        <v>514</v>
      </c>
      <c r="G41" s="65" t="s">
        <v>515</v>
      </c>
      <c r="J41" s="144"/>
      <c r="K41" s="438"/>
      <c r="L41" s="144"/>
      <c r="O41" s="142"/>
      <c r="P41" s="142"/>
      <c r="Q41" s="142"/>
      <c r="R41" s="142"/>
    </row>
    <row r="42" spans="1:18" x14ac:dyDescent="0.2">
      <c r="B42" s="144"/>
      <c r="C42" s="57"/>
      <c r="D42" s="142"/>
      <c r="E42" s="378" t="s">
        <v>565</v>
      </c>
      <c r="F42" s="378" t="s">
        <v>565</v>
      </c>
      <c r="G42" s="378" t="s">
        <v>565</v>
      </c>
      <c r="J42" s="144"/>
      <c r="K42" s="438"/>
      <c r="L42" s="144"/>
      <c r="Q42" s="142"/>
      <c r="R42" s="142"/>
    </row>
    <row r="43" spans="1:18" x14ac:dyDescent="0.2">
      <c r="B43" s="144"/>
      <c r="C43" s="101" t="s">
        <v>487</v>
      </c>
      <c r="D43" s="142"/>
      <c r="E43" s="439" t="s">
        <v>435</v>
      </c>
      <c r="F43" s="439" t="s">
        <v>435</v>
      </c>
      <c r="G43" s="439" t="s">
        <v>435</v>
      </c>
      <c r="H43" s="429" t="s">
        <v>8</v>
      </c>
      <c r="J43" s="144"/>
      <c r="K43" s="150"/>
      <c r="L43" s="144"/>
      <c r="O43" s="142"/>
      <c r="P43" s="142"/>
      <c r="Q43" s="142"/>
      <c r="R43" s="142"/>
    </row>
    <row r="44" spans="1:18" x14ac:dyDescent="0.2">
      <c r="A44" s="60">
        <f>A35+1</f>
        <v>18</v>
      </c>
      <c r="B44" s="144"/>
      <c r="C44" s="385" t="s">
        <v>488</v>
      </c>
      <c r="D44" s="123" t="s">
        <v>566</v>
      </c>
      <c r="E44" s="184">
        <f>SUM(F44:G44)</f>
        <v>1491437244</v>
      </c>
      <c r="F44" s="174">
        <v>790830008</v>
      </c>
      <c r="G44" s="440">
        <v>700607236</v>
      </c>
      <c r="H44" s="161" t="s">
        <v>567</v>
      </c>
      <c r="I44" s="57"/>
      <c r="J44" s="142"/>
      <c r="L44" s="144"/>
      <c r="O44" s="142"/>
      <c r="P44" s="142"/>
      <c r="Q44" s="142"/>
      <c r="R44" s="142"/>
    </row>
    <row r="45" spans="1:18" x14ac:dyDescent="0.2">
      <c r="A45" s="60">
        <f>A44+1</f>
        <v>19</v>
      </c>
      <c r="B45" s="144"/>
      <c r="C45" s="385" t="s">
        <v>500</v>
      </c>
      <c r="D45" s="436" t="s">
        <v>568</v>
      </c>
      <c r="E45" s="392">
        <f>SUM(F45:G45)</f>
        <v>1737446477</v>
      </c>
      <c r="F45" s="174">
        <v>855592937</v>
      </c>
      <c r="G45" s="440">
        <v>881853540</v>
      </c>
      <c r="H45" s="161" t="s">
        <v>569</v>
      </c>
      <c r="I45" s="57"/>
      <c r="J45" s="142"/>
      <c r="K45" s="441"/>
      <c r="L45" s="144"/>
      <c r="O45" s="142"/>
      <c r="P45" s="142"/>
      <c r="Q45" s="142"/>
      <c r="R45" s="142"/>
    </row>
    <row r="46" spans="1:18" x14ac:dyDescent="0.2">
      <c r="A46" s="60">
        <f>A45+1</f>
        <v>20</v>
      </c>
      <c r="B46" s="144"/>
      <c r="D46" s="436" t="s">
        <v>561</v>
      </c>
      <c r="E46" s="187">
        <f>AVERAGE(E44:E45)</f>
        <v>1614441860.5</v>
      </c>
      <c r="H46" s="157" t="str">
        <f>"Average of Line "&amp;A44&amp;" and Line "&amp;A45&amp;""</f>
        <v>Average of Line 18 and Line 19</v>
      </c>
      <c r="J46" s="144"/>
      <c r="K46" s="441"/>
      <c r="L46" s="144"/>
      <c r="O46" s="142"/>
      <c r="P46" s="142"/>
      <c r="Q46" s="142"/>
      <c r="R46" s="142"/>
    </row>
    <row r="47" spans="1:18" x14ac:dyDescent="0.2">
      <c r="I47" s="144"/>
      <c r="J47" s="144"/>
      <c r="K47" s="144"/>
      <c r="L47" s="144"/>
      <c r="O47" s="142"/>
      <c r="P47" s="142"/>
      <c r="Q47" s="142"/>
      <c r="R47" s="142"/>
    </row>
    <row r="48" spans="1:18" x14ac:dyDescent="0.2">
      <c r="B48" s="56" t="s">
        <v>570</v>
      </c>
      <c r="C48" s="74"/>
      <c r="D48" s="402"/>
      <c r="E48" s="144"/>
      <c r="F48" s="144"/>
      <c r="G48" s="144"/>
      <c r="H48" s="144"/>
      <c r="I48" s="144"/>
      <c r="J48" s="144"/>
      <c r="K48" s="144"/>
      <c r="L48" s="144"/>
      <c r="M48" s="144"/>
      <c r="N48" s="144"/>
      <c r="O48" s="142"/>
      <c r="P48" s="142"/>
      <c r="Q48" s="142"/>
      <c r="R48" s="142"/>
    </row>
    <row r="49" spans="1:18" x14ac:dyDescent="0.2">
      <c r="B49" s="56"/>
      <c r="C49" s="74"/>
      <c r="D49" s="402"/>
      <c r="E49" s="144"/>
      <c r="F49" s="144"/>
      <c r="G49" s="144"/>
      <c r="H49" s="144"/>
      <c r="I49" s="144"/>
      <c r="J49" s="144"/>
      <c r="K49" s="144"/>
      <c r="L49" s="144"/>
      <c r="M49" s="144"/>
      <c r="N49" s="144"/>
      <c r="O49" s="142"/>
      <c r="P49" s="142"/>
      <c r="Q49" s="142"/>
      <c r="R49" s="142"/>
    </row>
    <row r="50" spans="1:18" x14ac:dyDescent="0.2">
      <c r="B50" s="144"/>
      <c r="C50" s="56"/>
      <c r="D50" s="74"/>
      <c r="E50" s="402"/>
      <c r="F50" s="150" t="s">
        <v>7</v>
      </c>
      <c r="G50" s="429" t="s">
        <v>8</v>
      </c>
      <c r="H50" s="144"/>
      <c r="I50" s="144"/>
      <c r="J50" s="144"/>
      <c r="K50" s="144"/>
      <c r="L50" s="144"/>
      <c r="M50" s="144"/>
      <c r="N50" s="144"/>
      <c r="O50" s="142"/>
      <c r="P50" s="142"/>
      <c r="Q50" s="142"/>
      <c r="R50" s="142"/>
    </row>
    <row r="51" spans="1:18" x14ac:dyDescent="0.2">
      <c r="A51" s="60">
        <f>A46+1</f>
        <v>21</v>
      </c>
      <c r="B51" s="144"/>
      <c r="C51" s="74"/>
      <c r="D51" s="74"/>
      <c r="E51" s="123" t="s">
        <v>571</v>
      </c>
      <c r="F51" s="396">
        <f>E46</f>
        <v>1614441860.5</v>
      </c>
      <c r="G51" s="157" t="str">
        <f>"Line "&amp;A46&amp;""</f>
        <v>Line 20</v>
      </c>
      <c r="H51" s="144"/>
      <c r="I51" s="144"/>
      <c r="J51" s="144"/>
      <c r="K51" s="144"/>
      <c r="L51" s="144"/>
      <c r="M51" s="144"/>
      <c r="N51" s="144"/>
      <c r="O51" s="142"/>
      <c r="P51" s="142"/>
      <c r="Q51" s="142"/>
      <c r="R51" s="142"/>
    </row>
    <row r="52" spans="1:18" x14ac:dyDescent="0.2">
      <c r="A52" s="60">
        <f>A51+1</f>
        <v>22</v>
      </c>
      <c r="B52" s="144"/>
      <c r="C52" s="74"/>
      <c r="D52" s="74"/>
      <c r="E52" s="164" t="s">
        <v>526</v>
      </c>
      <c r="F52" s="441">
        <v>4.2450573372571437E-2</v>
      </c>
      <c r="G52" s="161" t="s">
        <v>766</v>
      </c>
      <c r="H52" s="144"/>
      <c r="I52" s="144"/>
      <c r="J52" s="144"/>
      <c r="K52" s="144"/>
      <c r="L52" s="144"/>
      <c r="M52" s="144"/>
      <c r="N52" s="144"/>
      <c r="O52" s="142"/>
      <c r="P52" s="142"/>
      <c r="Q52" s="142"/>
      <c r="R52" s="142"/>
    </row>
    <row r="53" spans="1:18" x14ac:dyDescent="0.2">
      <c r="A53" s="60">
        <f>A52+1</f>
        <v>23</v>
      </c>
      <c r="B53" s="144"/>
      <c r="C53" s="74"/>
      <c r="D53" s="74"/>
      <c r="E53" s="164" t="s">
        <v>572</v>
      </c>
      <c r="F53" s="396">
        <f>F51*F52</f>
        <v>68533982.65490599</v>
      </c>
      <c r="G53" s="161" t="str">
        <f>"Line "&amp;A51&amp;" * Line "&amp;A52&amp;""</f>
        <v>Line 21 * Line 22</v>
      </c>
      <c r="H53" s="144"/>
      <c r="I53" s="144"/>
      <c r="J53" s="144"/>
      <c r="K53" s="144"/>
      <c r="L53" s="144"/>
      <c r="M53" s="144"/>
      <c r="O53" s="142"/>
      <c r="P53" s="142"/>
      <c r="Q53" s="142"/>
      <c r="R53" s="142"/>
    </row>
    <row r="54" spans="1:18" x14ac:dyDescent="0.2">
      <c r="B54" s="74"/>
      <c r="C54" s="74"/>
      <c r="D54" s="164"/>
      <c r="E54" s="396"/>
      <c r="F54" s="144"/>
      <c r="G54" s="142"/>
      <c r="H54" s="144"/>
      <c r="I54" s="144"/>
      <c r="J54" s="144"/>
      <c r="K54" s="144"/>
      <c r="L54" s="144"/>
      <c r="M54" s="144"/>
      <c r="O54" s="142"/>
      <c r="P54" s="142"/>
      <c r="Q54" s="142"/>
      <c r="R54" s="142"/>
    </row>
    <row r="55" spans="1:18" x14ac:dyDescent="0.2">
      <c r="B55" s="56" t="s">
        <v>573</v>
      </c>
      <c r="C55" s="74"/>
      <c r="D55" s="402"/>
      <c r="E55" s="144"/>
      <c r="F55" s="144"/>
      <c r="G55" s="142"/>
      <c r="H55" s="144"/>
      <c r="I55" s="144"/>
      <c r="J55" s="144"/>
      <c r="K55" s="144"/>
      <c r="L55" s="144"/>
      <c r="M55" s="144"/>
      <c r="O55" s="142"/>
      <c r="P55" s="142"/>
      <c r="Q55" s="142"/>
      <c r="R55" s="142"/>
    </row>
    <row r="56" spans="1:18" x14ac:dyDescent="0.2">
      <c r="B56" s="144"/>
      <c r="C56" s="144"/>
      <c r="D56" s="144"/>
      <c r="E56" s="144"/>
      <c r="F56" s="144"/>
      <c r="G56" s="142"/>
      <c r="H56" s="144"/>
      <c r="I56" s="144"/>
      <c r="J56" s="144"/>
      <c r="K56" s="144"/>
      <c r="L56" s="144"/>
      <c r="M56" s="144"/>
      <c r="O56" s="442"/>
      <c r="P56" s="405"/>
      <c r="Q56" s="142"/>
      <c r="R56" s="142"/>
    </row>
    <row r="57" spans="1:18" x14ac:dyDescent="0.2">
      <c r="B57" s="144"/>
      <c r="C57" s="144"/>
      <c r="D57" s="144"/>
      <c r="E57" s="144"/>
      <c r="F57" s="150" t="s">
        <v>7</v>
      </c>
      <c r="G57" s="149" t="s">
        <v>8</v>
      </c>
      <c r="H57" s="144"/>
      <c r="I57" s="144"/>
      <c r="J57" s="144"/>
      <c r="K57" s="144"/>
      <c r="L57" s="144"/>
      <c r="M57" s="144"/>
      <c r="O57" s="322"/>
      <c r="P57" s="322"/>
      <c r="Q57" s="142"/>
      <c r="R57" s="142"/>
    </row>
    <row r="58" spans="1:18" x14ac:dyDescent="0.2">
      <c r="A58" s="60">
        <f>A53+1</f>
        <v>24</v>
      </c>
      <c r="B58" s="74"/>
      <c r="C58" s="74"/>
      <c r="E58" s="123" t="s">
        <v>574</v>
      </c>
      <c r="F58" s="396">
        <f>E45</f>
        <v>1737446477</v>
      </c>
      <c r="G58" s="161" t="str">
        <f>"Line "&amp;A45&amp;""</f>
        <v>Line 19</v>
      </c>
      <c r="H58" s="144"/>
      <c r="I58" s="144"/>
      <c r="J58" s="144"/>
      <c r="K58" s="144"/>
      <c r="L58" s="144"/>
      <c r="M58" s="144"/>
      <c r="O58" s="443"/>
      <c r="P58" s="324"/>
      <c r="Q58" s="142"/>
      <c r="R58" s="142"/>
    </row>
    <row r="59" spans="1:18" x14ac:dyDescent="0.2">
      <c r="A59" s="60">
        <f>A58+1</f>
        <v>25</v>
      </c>
      <c r="B59" s="74"/>
      <c r="C59" s="74"/>
      <c r="E59" s="164" t="s">
        <v>526</v>
      </c>
      <c r="F59" s="441">
        <v>4.2450573372571437E-2</v>
      </c>
      <c r="G59" s="161" t="s">
        <v>766</v>
      </c>
      <c r="H59" s="144"/>
      <c r="I59" s="144"/>
      <c r="J59" s="144"/>
      <c r="K59" s="144"/>
      <c r="L59" s="144"/>
      <c r="M59" s="144"/>
      <c r="O59" s="443"/>
      <c r="P59" s="324"/>
      <c r="Q59" s="142"/>
      <c r="R59" s="142"/>
    </row>
    <row r="60" spans="1:18" x14ac:dyDescent="0.2">
      <c r="A60" s="60">
        <f>A59+1</f>
        <v>26</v>
      </c>
      <c r="B60" s="74"/>
      <c r="C60" s="74"/>
      <c r="E60" s="164" t="s">
        <v>575</v>
      </c>
      <c r="F60" s="396">
        <f>F58*F59</f>
        <v>73755599.152804255</v>
      </c>
      <c r="G60" s="157" t="str">
        <f>"Line "&amp;A58&amp;" * Line "&amp;A59&amp;""</f>
        <v>Line 24 * Line 25</v>
      </c>
      <c r="H60" s="144"/>
      <c r="I60" s="144"/>
      <c r="J60" s="144"/>
      <c r="K60" s="144"/>
      <c r="L60" s="144"/>
      <c r="M60" s="144"/>
      <c r="Q60" s="142"/>
      <c r="R60" s="142"/>
    </row>
    <row r="61" spans="1:18" x14ac:dyDescent="0.2">
      <c r="B61" s="144"/>
      <c r="C61" s="144"/>
      <c r="D61" s="144"/>
      <c r="E61" s="144"/>
      <c r="F61" s="144"/>
      <c r="G61" s="144"/>
      <c r="H61" s="144"/>
      <c r="I61" s="144"/>
      <c r="J61" s="144"/>
      <c r="K61" s="144"/>
      <c r="L61" s="144"/>
      <c r="M61" s="144"/>
      <c r="Q61" s="142"/>
      <c r="R61" s="142"/>
    </row>
    <row r="62" spans="1:18" x14ac:dyDescent="0.2">
      <c r="Q62" s="142"/>
      <c r="R62" s="142"/>
    </row>
    <row r="63" spans="1:18" x14ac:dyDescent="0.2">
      <c r="B63" s="56" t="s">
        <v>576</v>
      </c>
      <c r="Q63" s="142"/>
      <c r="R63" s="142"/>
    </row>
    <row r="64" spans="1:18" x14ac:dyDescent="0.2">
      <c r="Q64" s="142"/>
      <c r="R64" s="142"/>
    </row>
    <row r="65" spans="1:18" x14ac:dyDescent="0.2">
      <c r="C65" s="56" t="s">
        <v>530</v>
      </c>
      <c r="D65" s="124"/>
      <c r="E65" s="124"/>
      <c r="F65" s="124"/>
      <c r="G65" s="124"/>
      <c r="H65" s="124"/>
      <c r="I65" s="124"/>
      <c r="J65" s="124"/>
      <c r="K65" s="124"/>
      <c r="L65" s="124"/>
      <c r="M65" s="124"/>
      <c r="Q65" s="142"/>
      <c r="R65" s="142"/>
    </row>
    <row r="66" spans="1:18" x14ac:dyDescent="0.2">
      <c r="A66" s="124"/>
      <c r="D66" s="124"/>
      <c r="E66" s="124"/>
      <c r="F66" s="124"/>
      <c r="G66" s="124"/>
      <c r="H66" s="124"/>
      <c r="I66" s="124"/>
      <c r="J66" s="124"/>
      <c r="K66" s="124"/>
      <c r="L66" s="124"/>
      <c r="M66" s="124"/>
      <c r="Q66" s="142"/>
      <c r="R66" s="142"/>
    </row>
    <row r="67" spans="1:18" x14ac:dyDescent="0.2">
      <c r="A67" s="375"/>
      <c r="C67" s="129" t="s">
        <v>167</v>
      </c>
      <c r="D67" s="129" t="s">
        <v>168</v>
      </c>
      <c r="E67" s="129" t="s">
        <v>184</v>
      </c>
      <c r="F67" s="129" t="s">
        <v>185</v>
      </c>
      <c r="G67" s="129" t="s">
        <v>186</v>
      </c>
      <c r="H67" s="129" t="s">
        <v>187</v>
      </c>
      <c r="I67" s="129" t="s">
        <v>188</v>
      </c>
      <c r="J67" s="129" t="s">
        <v>350</v>
      </c>
      <c r="K67" s="129" t="s">
        <v>404</v>
      </c>
      <c r="L67" s="129" t="s">
        <v>403</v>
      </c>
      <c r="M67" s="129" t="s">
        <v>402</v>
      </c>
      <c r="N67" s="129" t="s">
        <v>401</v>
      </c>
      <c r="Q67" s="142"/>
      <c r="R67" s="142"/>
    </row>
    <row r="68" spans="1:18" x14ac:dyDescent="0.2">
      <c r="A68" s="144"/>
      <c r="C68" s="379"/>
      <c r="D68" s="144"/>
      <c r="E68" s="144"/>
      <c r="F68" s="144"/>
      <c r="G68" s="144"/>
      <c r="H68" s="144"/>
      <c r="I68" s="144"/>
      <c r="J68" s="144"/>
      <c r="K68" s="144"/>
      <c r="L68" s="144"/>
      <c r="N68" s="379" t="s">
        <v>486</v>
      </c>
      <c r="O68" s="142"/>
      <c r="P68" s="142"/>
      <c r="Q68" s="142"/>
      <c r="R68" s="142"/>
    </row>
    <row r="69" spans="1:18" x14ac:dyDescent="0.2">
      <c r="A69" s="144"/>
      <c r="C69" s="65"/>
      <c r="D69" s="129"/>
      <c r="E69" s="129"/>
      <c r="F69" s="144"/>
      <c r="G69" s="144"/>
      <c r="H69" s="144"/>
      <c r="I69" s="144"/>
      <c r="J69" s="144"/>
      <c r="K69" s="144"/>
      <c r="L69" s="144"/>
      <c r="M69" s="144"/>
      <c r="O69" s="142"/>
      <c r="P69" s="142"/>
      <c r="Q69" s="142"/>
      <c r="R69" s="142"/>
    </row>
    <row r="70" spans="1:18" x14ac:dyDescent="0.2">
      <c r="A70" s="63"/>
      <c r="C70" s="101" t="s">
        <v>487</v>
      </c>
      <c r="D70" s="129">
        <v>350.1</v>
      </c>
      <c r="E70" s="129">
        <v>350.2</v>
      </c>
      <c r="F70" s="129">
        <v>352</v>
      </c>
      <c r="G70" s="129">
        <v>353</v>
      </c>
      <c r="H70" s="129">
        <v>354</v>
      </c>
      <c r="I70" s="129">
        <v>355</v>
      </c>
      <c r="J70" s="129">
        <v>356</v>
      </c>
      <c r="K70" s="129">
        <v>357</v>
      </c>
      <c r="L70" s="129">
        <v>358</v>
      </c>
      <c r="M70" s="129">
        <v>359</v>
      </c>
      <c r="N70" s="64" t="s">
        <v>169</v>
      </c>
      <c r="O70" s="142"/>
      <c r="P70" s="142"/>
      <c r="Q70" s="142"/>
      <c r="R70" s="142"/>
    </row>
    <row r="71" spans="1:18" x14ac:dyDescent="0.2">
      <c r="A71" s="60">
        <f>A60+1</f>
        <v>27</v>
      </c>
      <c r="C71" s="382" t="s">
        <v>489</v>
      </c>
      <c r="D71" s="160">
        <v>0</v>
      </c>
      <c r="E71" s="444">
        <v>200482.78999999911</v>
      </c>
      <c r="F71" s="444">
        <v>1117218.2080015242</v>
      </c>
      <c r="G71" s="444">
        <v>13956430.474212945</v>
      </c>
      <c r="H71" s="444">
        <v>-5439601.5231068134</v>
      </c>
      <c r="I71" s="444">
        <v>1777537.728589505</v>
      </c>
      <c r="J71" s="444">
        <v>-3853107.1966820955</v>
      </c>
      <c r="K71" s="444">
        <v>52482.542199606076</v>
      </c>
      <c r="L71" s="444">
        <v>454163.17762254179</v>
      </c>
      <c r="M71" s="444">
        <v>-4872821.2442170363</v>
      </c>
      <c r="N71" s="187">
        <f t="shared" ref="N71:N82" si="4">SUM(D71:M71)</f>
        <v>3392784.9566201754</v>
      </c>
      <c r="O71" s="142"/>
      <c r="P71" s="142"/>
      <c r="Q71" s="142"/>
      <c r="R71" s="142"/>
    </row>
    <row r="72" spans="1:18" x14ac:dyDescent="0.2">
      <c r="A72" s="60">
        <f t="shared" ref="A72:A83" si="5">A71+1</f>
        <v>28</v>
      </c>
      <c r="C72" s="385" t="s">
        <v>490</v>
      </c>
      <c r="D72" s="160">
        <v>0</v>
      </c>
      <c r="E72" s="444">
        <v>235310.53000000119</v>
      </c>
      <c r="F72" s="444">
        <v>331276.97338975966</v>
      </c>
      <c r="G72" s="444">
        <v>6513971.4637391567</v>
      </c>
      <c r="H72" s="444">
        <v>-2529353.3749186993</v>
      </c>
      <c r="I72" s="444">
        <v>-1031397.2876545191</v>
      </c>
      <c r="J72" s="444">
        <v>-1855097.6166887283</v>
      </c>
      <c r="K72" s="444">
        <v>68915.390326948836</v>
      </c>
      <c r="L72" s="444">
        <v>518130.21799871325</v>
      </c>
      <c r="M72" s="444">
        <v>-1423614.1127568483</v>
      </c>
      <c r="N72" s="187">
        <f t="shared" si="4"/>
        <v>828142.18343578465</v>
      </c>
      <c r="P72" s="142"/>
      <c r="Q72" s="142"/>
      <c r="R72" s="142"/>
    </row>
    <row r="73" spans="1:18" x14ac:dyDescent="0.2">
      <c r="A73" s="60">
        <f t="shared" si="5"/>
        <v>29</v>
      </c>
      <c r="C73" s="385" t="s">
        <v>491</v>
      </c>
      <c r="D73" s="160">
        <v>0</v>
      </c>
      <c r="E73" s="444">
        <v>209949.31000000052</v>
      </c>
      <c r="F73" s="444">
        <v>116326.28321494162</v>
      </c>
      <c r="G73" s="444">
        <v>7223123.0635578036</v>
      </c>
      <c r="H73" s="444">
        <v>2956795.2154284716</v>
      </c>
      <c r="I73" s="444">
        <v>-2616307.382574439</v>
      </c>
      <c r="J73" s="444">
        <v>8263028.7749050856</v>
      </c>
      <c r="K73" s="444">
        <v>77960.379483170807</v>
      </c>
      <c r="L73" s="444">
        <v>755314.57101155818</v>
      </c>
      <c r="M73" s="444">
        <v>4916949.327515509</v>
      </c>
      <c r="N73" s="187">
        <f t="shared" si="4"/>
        <v>21903139.542542104</v>
      </c>
      <c r="P73" s="142"/>
      <c r="Q73" s="142"/>
      <c r="R73" s="142"/>
    </row>
    <row r="74" spans="1:18" x14ac:dyDescent="0.2">
      <c r="A74" s="60">
        <f t="shared" si="5"/>
        <v>30</v>
      </c>
      <c r="C74" s="382" t="s">
        <v>531</v>
      </c>
      <c r="D74" s="160">
        <v>0</v>
      </c>
      <c r="E74" s="444">
        <v>210084.9299999997</v>
      </c>
      <c r="F74" s="444">
        <v>693904.36880868673</v>
      </c>
      <c r="G74" s="444">
        <v>6794107.1145013571</v>
      </c>
      <c r="H74" s="444">
        <v>741068.71350479126</v>
      </c>
      <c r="I74" s="444">
        <v>863815.07036879659</v>
      </c>
      <c r="J74" s="444">
        <v>1207997.1956650019</v>
      </c>
      <c r="K74" s="444">
        <v>61783.928664704785</v>
      </c>
      <c r="L74" s="444">
        <v>478081.49760261178</v>
      </c>
      <c r="M74" s="444">
        <v>-293980.07253897749</v>
      </c>
      <c r="N74" s="187">
        <f t="shared" si="4"/>
        <v>10756862.746576972</v>
      </c>
      <c r="P74" s="142"/>
      <c r="Q74" s="142"/>
      <c r="R74" s="142"/>
    </row>
    <row r="75" spans="1:18" x14ac:dyDescent="0.2">
      <c r="A75" s="60">
        <f t="shared" si="5"/>
        <v>31</v>
      </c>
      <c r="C75" s="385" t="s">
        <v>493</v>
      </c>
      <c r="D75" s="160">
        <v>0</v>
      </c>
      <c r="E75" s="444">
        <v>210130.71000000276</v>
      </c>
      <c r="F75" s="444">
        <v>755572.0851470679</v>
      </c>
      <c r="G75" s="444">
        <v>6040477.1383773088</v>
      </c>
      <c r="H75" s="444">
        <v>894618.94238501787</v>
      </c>
      <c r="I75" s="444">
        <v>-245497.97207450867</v>
      </c>
      <c r="J75" s="444">
        <v>6414293.4500015378</v>
      </c>
      <c r="K75" s="444">
        <v>9483.3663971535861</v>
      </c>
      <c r="L75" s="444">
        <v>37289.447189107537</v>
      </c>
      <c r="M75" s="444">
        <v>-214573.56015518308</v>
      </c>
      <c r="N75" s="187">
        <f t="shared" si="4"/>
        <v>13901793.607267505</v>
      </c>
    </row>
    <row r="76" spans="1:18" x14ac:dyDescent="0.2">
      <c r="A76" s="60">
        <f t="shared" si="5"/>
        <v>32</v>
      </c>
      <c r="C76" s="385" t="s">
        <v>494</v>
      </c>
      <c r="D76" s="160">
        <v>0</v>
      </c>
      <c r="E76" s="444">
        <v>175417.64999999851</v>
      </c>
      <c r="F76" s="444">
        <v>643963.97397409379</v>
      </c>
      <c r="G76" s="444">
        <v>11167650.478214741</v>
      </c>
      <c r="H76" s="444">
        <v>630531.08121681213</v>
      </c>
      <c r="I76" s="444">
        <v>-303815.92882168293</v>
      </c>
      <c r="J76" s="444">
        <v>-19954.355835318565</v>
      </c>
      <c r="K76" s="444">
        <v>41215.382328096777</v>
      </c>
      <c r="L76" s="444">
        <v>385552.41636693478</v>
      </c>
      <c r="M76" s="444">
        <v>-761561.49965474568</v>
      </c>
      <c r="N76" s="187">
        <f t="shared" si="4"/>
        <v>11958999.19778893</v>
      </c>
    </row>
    <row r="77" spans="1:18" x14ac:dyDescent="0.2">
      <c r="A77" s="60">
        <f t="shared" si="5"/>
        <v>33</v>
      </c>
      <c r="C77" s="382" t="s">
        <v>495</v>
      </c>
      <c r="D77" s="160">
        <v>0</v>
      </c>
      <c r="E77" s="444">
        <v>247429.38000000268</v>
      </c>
      <c r="F77" s="444">
        <v>1449088.297823742</v>
      </c>
      <c r="G77" s="444">
        <v>7169833.6636717319</v>
      </c>
      <c r="H77" s="444">
        <v>865655.61527973413</v>
      </c>
      <c r="I77" s="444">
        <v>367158.01919525862</v>
      </c>
      <c r="J77" s="444">
        <v>2330064.6217641234</v>
      </c>
      <c r="K77" s="444">
        <v>79070.942729966715</v>
      </c>
      <c r="L77" s="444">
        <v>533359.06699986756</v>
      </c>
      <c r="M77" s="444">
        <v>-34800.50599582307</v>
      </c>
      <c r="N77" s="187">
        <f t="shared" si="4"/>
        <v>13006859.101468604</v>
      </c>
    </row>
    <row r="78" spans="1:18" x14ac:dyDescent="0.2">
      <c r="A78" s="60">
        <f t="shared" si="5"/>
        <v>34</v>
      </c>
      <c r="C78" s="385" t="s">
        <v>496</v>
      </c>
      <c r="D78" s="160">
        <v>0</v>
      </c>
      <c r="E78" s="444">
        <v>362528.45999999903</v>
      </c>
      <c r="F78" s="444">
        <v>484910.18608856201</v>
      </c>
      <c r="G78" s="444">
        <v>-3921895.3881510496</v>
      </c>
      <c r="H78" s="444">
        <v>1718973.4212562442</v>
      </c>
      <c r="I78" s="444">
        <v>-1343361.6865096986</v>
      </c>
      <c r="J78" s="444">
        <v>2020616.1149225831</v>
      </c>
      <c r="K78" s="444">
        <v>69430.211928121746</v>
      </c>
      <c r="L78" s="444">
        <v>439802.93379028141</v>
      </c>
      <c r="M78" s="444">
        <v>-411754.16468328983</v>
      </c>
      <c r="N78" s="187">
        <f t="shared" si="4"/>
        <v>-580749.91135824658</v>
      </c>
    </row>
    <row r="79" spans="1:18" x14ac:dyDescent="0.2">
      <c r="A79" s="60">
        <f t="shared" si="5"/>
        <v>35</v>
      </c>
      <c r="C79" s="385" t="s">
        <v>497</v>
      </c>
      <c r="D79" s="160">
        <v>0</v>
      </c>
      <c r="E79" s="444">
        <v>238726.37158890814</v>
      </c>
      <c r="F79" s="444">
        <v>543334.89984945953</v>
      </c>
      <c r="G79" s="444">
        <v>7390980.2397941351</v>
      </c>
      <c r="H79" s="444">
        <v>1427862.8101094961</v>
      </c>
      <c r="I79" s="444">
        <v>1166066.5280645788</v>
      </c>
      <c r="J79" s="444">
        <v>3002559.4756829143</v>
      </c>
      <c r="K79" s="444">
        <v>83069.10381301865</v>
      </c>
      <c r="L79" s="444">
        <v>427833.11948589981</v>
      </c>
      <c r="M79" s="444">
        <v>4342384.6659176517</v>
      </c>
      <c r="N79" s="187">
        <f t="shared" si="4"/>
        <v>18622817.214306064</v>
      </c>
    </row>
    <row r="80" spans="1:18" x14ac:dyDescent="0.2">
      <c r="A80" s="60">
        <f t="shared" si="5"/>
        <v>36</v>
      </c>
      <c r="C80" s="382" t="s">
        <v>498</v>
      </c>
      <c r="D80" s="160">
        <v>0</v>
      </c>
      <c r="E80" s="444">
        <v>247284.63841108792</v>
      </c>
      <c r="F80" s="444">
        <v>1057682.1563264728</v>
      </c>
      <c r="G80" s="444">
        <v>10597708.303799272</v>
      </c>
      <c r="H80" s="444">
        <v>8154765.6461732984</v>
      </c>
      <c r="I80" s="444">
        <v>-2192557.7022616267</v>
      </c>
      <c r="J80" s="444">
        <v>4474505.1628493071</v>
      </c>
      <c r="K80" s="444">
        <v>78552.312053222209</v>
      </c>
      <c r="L80" s="444">
        <v>469253.3797300756</v>
      </c>
      <c r="M80" s="444">
        <v>110238.88380983844</v>
      </c>
      <c r="N80" s="187">
        <f t="shared" si="4"/>
        <v>22997432.780890949</v>
      </c>
    </row>
    <row r="81" spans="1:15" x14ac:dyDescent="0.2">
      <c r="A81" s="60">
        <f t="shared" si="5"/>
        <v>37</v>
      </c>
      <c r="C81" s="382" t="s">
        <v>499</v>
      </c>
      <c r="D81" s="160">
        <v>0</v>
      </c>
      <c r="E81" s="444">
        <v>302595.13000000082</v>
      </c>
      <c r="F81" s="444">
        <v>477873.71572464705</v>
      </c>
      <c r="G81" s="444">
        <v>-1799956.3389595747</v>
      </c>
      <c r="H81" s="444">
        <v>1547385.3668618798</v>
      </c>
      <c r="I81" s="444">
        <v>1716304.3909438252</v>
      </c>
      <c r="J81" s="444">
        <v>-1924070.7870459557</v>
      </c>
      <c r="K81" s="444">
        <v>83727.262094151229</v>
      </c>
      <c r="L81" s="444">
        <v>521677.62662489712</v>
      </c>
      <c r="M81" s="444">
        <v>95605.675883781165</v>
      </c>
      <c r="N81" s="187">
        <f t="shared" si="4"/>
        <v>1021142.0421276521</v>
      </c>
    </row>
    <row r="82" spans="1:15" x14ac:dyDescent="0.2">
      <c r="A82" s="60">
        <f t="shared" si="5"/>
        <v>38</v>
      </c>
      <c r="C82" s="385" t="s">
        <v>500</v>
      </c>
      <c r="D82" s="303">
        <v>0</v>
      </c>
      <c r="E82" s="444">
        <v>245938.49000000022</v>
      </c>
      <c r="F82" s="444">
        <v>-3158530.324034214</v>
      </c>
      <c r="G82" s="444">
        <v>-26867555.019922733</v>
      </c>
      <c r="H82" s="444">
        <v>1898191.8551545739</v>
      </c>
      <c r="I82" s="444">
        <v>3037428.1512072384</v>
      </c>
      <c r="J82" s="444">
        <v>1430859.156725049</v>
      </c>
      <c r="K82" s="444">
        <v>79030.252900332212</v>
      </c>
      <c r="L82" s="444">
        <v>271585.8246665746</v>
      </c>
      <c r="M82" s="444">
        <v>53236.589816313237</v>
      </c>
      <c r="N82" s="395">
        <f t="shared" si="4"/>
        <v>-23009815.023486864</v>
      </c>
      <c r="O82" s="142"/>
    </row>
    <row r="83" spans="1:15" x14ac:dyDescent="0.2">
      <c r="A83" s="60">
        <f t="shared" si="5"/>
        <v>39</v>
      </c>
      <c r="C83" s="393" t="s">
        <v>532</v>
      </c>
      <c r="D83" s="187">
        <f>SUM(D71:D82)</f>
        <v>0</v>
      </c>
      <c r="E83" s="187">
        <f t="shared" ref="E83:M83" si="6">SUM(E71:E82)</f>
        <v>2885878.3900000006</v>
      </c>
      <c r="F83" s="187">
        <f t="shared" si="6"/>
        <v>4512620.8243147433</v>
      </c>
      <c r="G83" s="187">
        <f t="shared" si="6"/>
        <v>44264875.192835093</v>
      </c>
      <c r="H83" s="187">
        <f t="shared" si="6"/>
        <v>12866893.769344807</v>
      </c>
      <c r="I83" s="187">
        <f t="shared" si="6"/>
        <v>1195371.9284727275</v>
      </c>
      <c r="J83" s="187">
        <f t="shared" si="6"/>
        <v>21491693.996263504</v>
      </c>
      <c r="K83" s="187">
        <f t="shared" si="6"/>
        <v>784721.07491849363</v>
      </c>
      <c r="L83" s="187">
        <f t="shared" si="6"/>
        <v>5292043.2790890634</v>
      </c>
      <c r="M83" s="187">
        <f t="shared" si="6"/>
        <v>1505309.9829411898</v>
      </c>
      <c r="N83" s="187">
        <f>SUM(N71:N82)</f>
        <v>94799408.438179612</v>
      </c>
      <c r="O83" s="142"/>
    </row>
    <row r="85" spans="1:15" x14ac:dyDescent="0.2">
      <c r="C85" s="56" t="s">
        <v>577</v>
      </c>
      <c r="D85" s="124"/>
      <c r="E85" s="124"/>
      <c r="F85" s="124"/>
      <c r="G85" s="124"/>
      <c r="H85" s="124"/>
      <c r="I85" s="124"/>
      <c r="J85" s="124"/>
      <c r="K85" s="124"/>
      <c r="L85" s="124"/>
    </row>
    <row r="86" spans="1:15" x14ac:dyDescent="0.2">
      <c r="A86" s="124"/>
      <c r="C86" s="124"/>
      <c r="D86" s="124"/>
      <c r="E86" s="124"/>
      <c r="F86" s="124"/>
      <c r="G86" s="124"/>
      <c r="H86" s="124"/>
      <c r="I86" s="124"/>
      <c r="J86" s="124"/>
      <c r="K86" s="124"/>
      <c r="L86" s="124"/>
    </row>
    <row r="87" spans="1:15" x14ac:dyDescent="0.2">
      <c r="A87" s="375"/>
      <c r="C87" s="129" t="s">
        <v>167</v>
      </c>
      <c r="D87" s="129" t="s">
        <v>168</v>
      </c>
      <c r="E87" s="129" t="s">
        <v>184</v>
      </c>
      <c r="F87" s="129" t="s">
        <v>185</v>
      </c>
      <c r="G87" s="129" t="s">
        <v>186</v>
      </c>
      <c r="H87" s="129" t="s">
        <v>187</v>
      </c>
      <c r="I87" s="129" t="s">
        <v>188</v>
      </c>
      <c r="J87" s="129" t="s">
        <v>350</v>
      </c>
      <c r="K87" s="129" t="s">
        <v>404</v>
      </c>
      <c r="L87" s="129" t="s">
        <v>403</v>
      </c>
      <c r="M87" s="129" t="s">
        <v>402</v>
      </c>
      <c r="N87" s="129" t="s">
        <v>401</v>
      </c>
    </row>
    <row r="88" spans="1:15" x14ac:dyDescent="0.2">
      <c r="A88" s="144"/>
      <c r="C88" s="379"/>
      <c r="D88" s="144"/>
      <c r="E88" s="144"/>
      <c r="F88" s="144"/>
      <c r="G88" s="144"/>
      <c r="H88" s="144"/>
      <c r="I88" s="144"/>
      <c r="J88" s="144"/>
      <c r="K88" s="144"/>
      <c r="L88" s="144"/>
      <c r="N88" s="379" t="s">
        <v>486</v>
      </c>
    </row>
    <row r="89" spans="1:15" x14ac:dyDescent="0.2">
      <c r="A89" s="144"/>
      <c r="C89" s="65"/>
      <c r="D89" s="129"/>
      <c r="E89" s="129"/>
      <c r="F89" s="144"/>
      <c r="G89" s="144"/>
      <c r="H89" s="144"/>
      <c r="I89" s="144"/>
      <c r="J89" s="144"/>
      <c r="K89" s="144"/>
      <c r="L89" s="144"/>
      <c r="M89" s="144"/>
    </row>
    <row r="90" spans="1:15" x14ac:dyDescent="0.2">
      <c r="A90" s="63"/>
      <c r="C90" s="101" t="s">
        <v>487</v>
      </c>
      <c r="D90" s="129">
        <v>350.1</v>
      </c>
      <c r="E90" s="129">
        <v>350.2</v>
      </c>
      <c r="F90" s="129">
        <v>352</v>
      </c>
      <c r="G90" s="129">
        <v>353</v>
      </c>
      <c r="H90" s="129">
        <v>354</v>
      </c>
      <c r="I90" s="129">
        <v>355</v>
      </c>
      <c r="J90" s="129">
        <v>356</v>
      </c>
      <c r="K90" s="129">
        <v>357</v>
      </c>
      <c r="L90" s="129">
        <v>358</v>
      </c>
      <c r="M90" s="129">
        <v>359</v>
      </c>
      <c r="N90" s="64" t="s">
        <v>169</v>
      </c>
    </row>
    <row r="91" spans="1:15" x14ac:dyDescent="0.2">
      <c r="A91" s="60">
        <f>A83+1</f>
        <v>40</v>
      </c>
      <c r="C91" s="382" t="s">
        <v>489</v>
      </c>
      <c r="D91" s="152">
        <v>0</v>
      </c>
      <c r="E91" s="152">
        <v>150211.50917047163</v>
      </c>
      <c r="F91" s="152">
        <v>444731.89539738401</v>
      </c>
      <c r="G91" s="152">
        <v>4593622.2261732658</v>
      </c>
      <c r="H91" s="152">
        <v>1480760.0565620763</v>
      </c>
      <c r="I91" s="152">
        <v>454568.91778237256</v>
      </c>
      <c r="J91" s="152">
        <v>1258007.9125355252</v>
      </c>
      <c r="K91" s="152">
        <v>888.05976634570789</v>
      </c>
      <c r="L91" s="152">
        <v>12768.764068718441</v>
      </c>
      <c r="M91" s="152">
        <v>50371.561783952035</v>
      </c>
      <c r="N91" s="187">
        <f t="shared" ref="N91:N102" si="7">SUM(D91:M91)</f>
        <v>8445930.9032401126</v>
      </c>
    </row>
    <row r="92" spans="1:15" x14ac:dyDescent="0.2">
      <c r="A92" s="60">
        <f t="shared" ref="A92:A103" si="8">A91+1</f>
        <v>41</v>
      </c>
      <c r="C92" s="385" t="s">
        <v>490</v>
      </c>
      <c r="D92" s="152">
        <v>0</v>
      </c>
      <c r="E92" s="274">
        <v>174999.56831935121</v>
      </c>
      <c r="F92" s="152">
        <v>444569.12137756165</v>
      </c>
      <c r="G92" s="274">
        <v>4597656.2902852548</v>
      </c>
      <c r="H92" s="152">
        <v>1615246.7048654957</v>
      </c>
      <c r="I92" s="152">
        <v>454162.23574796622</v>
      </c>
      <c r="J92" s="152">
        <v>1350753.4846972248</v>
      </c>
      <c r="K92" s="152">
        <v>894.41422809598362</v>
      </c>
      <c r="L92" s="152">
        <v>17986.728987490034</v>
      </c>
      <c r="M92" s="152">
        <v>58618.772742952038</v>
      </c>
      <c r="N92" s="384">
        <f t="shared" si="7"/>
        <v>8714887.3212513924</v>
      </c>
    </row>
    <row r="93" spans="1:15" x14ac:dyDescent="0.2">
      <c r="A93" s="60">
        <f t="shared" si="8"/>
        <v>42</v>
      </c>
      <c r="C93" s="385" t="s">
        <v>491</v>
      </c>
      <c r="D93" s="152">
        <v>0</v>
      </c>
      <c r="E93" s="274">
        <v>175035.43923721366</v>
      </c>
      <c r="F93" s="152">
        <v>447489.90531294205</v>
      </c>
      <c r="G93" s="274">
        <v>4622789.887107973</v>
      </c>
      <c r="H93" s="152">
        <v>1636390.5739179293</v>
      </c>
      <c r="I93" s="152">
        <v>454143.35894474131</v>
      </c>
      <c r="J93" s="152">
        <v>1358707.9943847398</v>
      </c>
      <c r="K93" s="152">
        <v>893.89514891157842</v>
      </c>
      <c r="L93" s="152">
        <v>17959.607750333118</v>
      </c>
      <c r="M93" s="152">
        <v>58800.610710952045</v>
      </c>
      <c r="N93" s="384">
        <f t="shared" si="7"/>
        <v>8772211.2725157384</v>
      </c>
    </row>
    <row r="94" spans="1:15" x14ac:dyDescent="0.2">
      <c r="A94" s="60">
        <f t="shared" si="8"/>
        <v>43</v>
      </c>
      <c r="C94" s="382" t="s">
        <v>531</v>
      </c>
      <c r="D94" s="152">
        <v>0</v>
      </c>
      <c r="E94" s="274">
        <v>175192.15321342161</v>
      </c>
      <c r="F94" s="152">
        <v>447257.03263537446</v>
      </c>
      <c r="G94" s="274">
        <v>4646008.9189655529</v>
      </c>
      <c r="H94" s="152">
        <v>1641542.1686557496</v>
      </c>
      <c r="I94" s="152">
        <v>454031.95233949227</v>
      </c>
      <c r="J94" s="152">
        <v>1357234.3679379497</v>
      </c>
      <c r="K94" s="152">
        <v>891.6961758355618</v>
      </c>
      <c r="L94" s="152">
        <v>17320.818768411245</v>
      </c>
      <c r="M94" s="152">
        <v>58681.140833789403</v>
      </c>
      <c r="N94" s="384">
        <f t="shared" si="7"/>
        <v>8798160.2495255787</v>
      </c>
    </row>
    <row r="95" spans="1:15" x14ac:dyDescent="0.2">
      <c r="A95" s="60">
        <f t="shared" si="8"/>
        <v>44</v>
      </c>
      <c r="C95" s="385" t="s">
        <v>493</v>
      </c>
      <c r="D95" s="152">
        <v>0</v>
      </c>
      <c r="E95" s="274">
        <v>175166.52979700666</v>
      </c>
      <c r="F95" s="152">
        <v>461096.18321416312</v>
      </c>
      <c r="G95" s="274">
        <v>4674692.9667684315</v>
      </c>
      <c r="H95" s="152">
        <v>1649611.1878230802</v>
      </c>
      <c r="I95" s="152">
        <v>453636.43797988707</v>
      </c>
      <c r="J95" s="152">
        <v>1359844.3055442481</v>
      </c>
      <c r="K95" s="152">
        <v>764.62647931145682</v>
      </c>
      <c r="L95" s="152">
        <v>15620.346236732525</v>
      </c>
      <c r="M95" s="152">
        <v>59455.141586459453</v>
      </c>
      <c r="N95" s="384">
        <f t="shared" si="7"/>
        <v>8849887.7254293207</v>
      </c>
    </row>
    <row r="96" spans="1:15" x14ac:dyDescent="0.2">
      <c r="A96" s="60">
        <f t="shared" si="8"/>
        <v>45</v>
      </c>
      <c r="C96" s="385" t="s">
        <v>494</v>
      </c>
      <c r="D96" s="152">
        <v>0</v>
      </c>
      <c r="E96" s="274">
        <v>175188.10357200666</v>
      </c>
      <c r="F96" s="152">
        <v>462563.116868057</v>
      </c>
      <c r="G96" s="274">
        <v>4701488.6903293729</v>
      </c>
      <c r="H96" s="152">
        <v>1946730.7488165207</v>
      </c>
      <c r="I96" s="152">
        <v>452921.09035243327</v>
      </c>
      <c r="J96" s="152">
        <v>1532182.8019011512</v>
      </c>
      <c r="K96" s="152">
        <v>652.55582940071645</v>
      </c>
      <c r="L96" s="152">
        <v>15139.567816974124</v>
      </c>
      <c r="M96" s="152">
        <v>64302.298478742196</v>
      </c>
      <c r="N96" s="384">
        <f t="shared" si="7"/>
        <v>9351168.9739646595</v>
      </c>
    </row>
    <row r="97" spans="1:14" x14ac:dyDescent="0.2">
      <c r="A97" s="60">
        <f t="shared" si="8"/>
        <v>46</v>
      </c>
      <c r="C97" s="382" t="s">
        <v>495</v>
      </c>
      <c r="D97" s="152">
        <v>0</v>
      </c>
      <c r="E97" s="274">
        <v>175211.42027517874</v>
      </c>
      <c r="F97" s="152">
        <v>668934.60477242153</v>
      </c>
      <c r="G97" s="274">
        <v>5211420.6894934596</v>
      </c>
      <c r="H97" s="152">
        <v>2467214.3579444243</v>
      </c>
      <c r="I97" s="152">
        <v>447222.00854537846</v>
      </c>
      <c r="J97" s="152">
        <v>1757260.368663149</v>
      </c>
      <c r="K97" s="152">
        <v>438.17280502365384</v>
      </c>
      <c r="L97" s="152">
        <v>21933.395741264394</v>
      </c>
      <c r="M97" s="152">
        <v>86608.634644687132</v>
      </c>
      <c r="N97" s="384">
        <f t="shared" si="7"/>
        <v>10836243.652884988</v>
      </c>
    </row>
    <row r="98" spans="1:14" x14ac:dyDescent="0.2">
      <c r="A98" s="60">
        <f t="shared" si="8"/>
        <v>47</v>
      </c>
      <c r="C98" s="385" t="s">
        <v>496</v>
      </c>
      <c r="D98" s="152">
        <v>0</v>
      </c>
      <c r="E98" s="274">
        <v>175193.30007430931</v>
      </c>
      <c r="F98" s="152">
        <v>690955.1089071891</v>
      </c>
      <c r="G98" s="274">
        <v>5315245.030458414</v>
      </c>
      <c r="H98" s="152">
        <v>2478213.9711258137</v>
      </c>
      <c r="I98" s="152">
        <v>445153.77786251769</v>
      </c>
      <c r="J98" s="152">
        <v>1759275.3173677605</v>
      </c>
      <c r="K98" s="152">
        <v>370.46304873139189</v>
      </c>
      <c r="L98" s="152">
        <v>22253.814594075749</v>
      </c>
      <c r="M98" s="152">
        <v>87044.557416253854</v>
      </c>
      <c r="N98" s="384">
        <f t="shared" si="7"/>
        <v>10973705.340855066</v>
      </c>
    </row>
    <row r="99" spans="1:14" x14ac:dyDescent="0.2">
      <c r="A99" s="60">
        <f t="shared" si="8"/>
        <v>48</v>
      </c>
      <c r="C99" s="385" t="s">
        <v>497</v>
      </c>
      <c r="D99" s="152">
        <v>0</v>
      </c>
      <c r="E99" s="274">
        <v>179114.29351962954</v>
      </c>
      <c r="F99" s="152">
        <v>720343.20761270821</v>
      </c>
      <c r="G99" s="274">
        <v>5485090.8419077434</v>
      </c>
      <c r="H99" s="152">
        <v>2480104.7147987895</v>
      </c>
      <c r="I99" s="152">
        <v>445033.28707762732</v>
      </c>
      <c r="J99" s="152">
        <v>1761320.9103449257</v>
      </c>
      <c r="K99" s="152">
        <v>322.32918305499089</v>
      </c>
      <c r="L99" s="152">
        <v>25028.169956051537</v>
      </c>
      <c r="M99" s="152">
        <v>87238.031146206704</v>
      </c>
      <c r="N99" s="384">
        <f t="shared" si="7"/>
        <v>11183595.785546737</v>
      </c>
    </row>
    <row r="100" spans="1:14" x14ac:dyDescent="0.2">
      <c r="A100" s="60">
        <f t="shared" si="8"/>
        <v>49</v>
      </c>
      <c r="C100" s="382" t="s">
        <v>498</v>
      </c>
      <c r="D100" s="152">
        <v>0</v>
      </c>
      <c r="E100" s="274">
        <v>183734.84770069038</v>
      </c>
      <c r="F100" s="152">
        <v>731388.33431979455</v>
      </c>
      <c r="G100" s="274">
        <v>5510990.4832359953</v>
      </c>
      <c r="H100" s="152">
        <v>2860359.6617105627</v>
      </c>
      <c r="I100" s="152">
        <v>441931.1037136151</v>
      </c>
      <c r="J100" s="152">
        <v>1888273.0512104651</v>
      </c>
      <c r="K100" s="152">
        <v>286.17491097626527</v>
      </c>
      <c r="L100" s="152">
        <v>24409.714580964122</v>
      </c>
      <c r="M100" s="152">
        <v>90495.876205685418</v>
      </c>
      <c r="N100" s="384">
        <f t="shared" si="7"/>
        <v>11731869.247588746</v>
      </c>
    </row>
    <row r="101" spans="1:14" x14ac:dyDescent="0.2">
      <c r="A101" s="60">
        <f t="shared" si="8"/>
        <v>50</v>
      </c>
      <c r="C101" s="382" t="s">
        <v>499</v>
      </c>
      <c r="D101" s="152">
        <v>0</v>
      </c>
      <c r="E101" s="274">
        <v>183772.81868206887</v>
      </c>
      <c r="F101" s="152">
        <v>738982.62056673469</v>
      </c>
      <c r="G101" s="274">
        <v>5532596.9543747297</v>
      </c>
      <c r="H101" s="152">
        <v>2893613.1936679943</v>
      </c>
      <c r="I101" s="152">
        <v>442220.57822011859</v>
      </c>
      <c r="J101" s="152">
        <v>1902445.1146880209</v>
      </c>
      <c r="K101" s="152">
        <v>285.89361764560363</v>
      </c>
      <c r="L101" s="152">
        <v>24439.153135601959</v>
      </c>
      <c r="M101" s="152">
        <v>91570.736210123709</v>
      </c>
      <c r="N101" s="384">
        <f t="shared" si="7"/>
        <v>11809927.063163036</v>
      </c>
    </row>
    <row r="102" spans="1:14" x14ac:dyDescent="0.2">
      <c r="A102" s="60">
        <f t="shared" si="8"/>
        <v>51</v>
      </c>
      <c r="C102" s="385" t="s">
        <v>500</v>
      </c>
      <c r="D102" s="260">
        <v>0</v>
      </c>
      <c r="E102" s="273">
        <v>189538.35982232503</v>
      </c>
      <c r="F102" s="260">
        <v>747676.28553982638</v>
      </c>
      <c r="G102" s="273">
        <v>5539008.7799785389</v>
      </c>
      <c r="H102" s="260">
        <v>2919873.5959046185</v>
      </c>
      <c r="I102" s="260">
        <v>441504.62796811707</v>
      </c>
      <c r="J102" s="260">
        <v>1912090.0964839726</v>
      </c>
      <c r="K102" s="260">
        <v>285.71954961778147</v>
      </c>
      <c r="L102" s="260">
        <v>24962.918504069996</v>
      </c>
      <c r="M102" s="260">
        <v>91983.830511425665</v>
      </c>
      <c r="N102" s="427">
        <f t="shared" si="7"/>
        <v>11866924.214262513</v>
      </c>
    </row>
    <row r="103" spans="1:14" x14ac:dyDescent="0.2">
      <c r="A103" s="60">
        <f t="shared" si="8"/>
        <v>52</v>
      </c>
      <c r="C103" s="393" t="s">
        <v>532</v>
      </c>
      <c r="D103" s="187">
        <f>SUM(D91:D102)</f>
        <v>0</v>
      </c>
      <c r="E103" s="384">
        <f t="shared" ref="E103:M103" si="9">SUM(E91:E102)</f>
        <v>2112358.3433836736</v>
      </c>
      <c r="F103" s="187">
        <f t="shared" si="9"/>
        <v>7005987.4165241569</v>
      </c>
      <c r="G103" s="384">
        <f t="shared" si="9"/>
        <v>60430611.759078726</v>
      </c>
      <c r="H103" s="187">
        <f t="shared" si="9"/>
        <v>26069660.935793053</v>
      </c>
      <c r="I103" s="187">
        <f t="shared" si="9"/>
        <v>5386529.3765342664</v>
      </c>
      <c r="J103" s="187">
        <f t="shared" si="9"/>
        <v>19197395.725759134</v>
      </c>
      <c r="K103" s="187">
        <f t="shared" si="9"/>
        <v>6974.0007429506913</v>
      </c>
      <c r="L103" s="187">
        <f t="shared" si="9"/>
        <v>239823.00014068725</v>
      </c>
      <c r="M103" s="187">
        <f t="shared" si="9"/>
        <v>885171.19227122958</v>
      </c>
      <c r="N103" s="384">
        <f>SUM(N91:N102)</f>
        <v>121334511.7502279</v>
      </c>
    </row>
    <row r="105" spans="1:14" x14ac:dyDescent="0.2">
      <c r="C105" s="56" t="s">
        <v>578</v>
      </c>
      <c r="D105" s="124"/>
      <c r="E105" s="124"/>
      <c r="F105" s="124"/>
      <c r="G105" s="124"/>
      <c r="H105" s="124"/>
      <c r="I105" s="124"/>
      <c r="J105" s="124"/>
      <c r="K105" s="124"/>
      <c r="L105" s="124"/>
    </row>
    <row r="106" spans="1:14" x14ac:dyDescent="0.2">
      <c r="C106" s="124"/>
      <c r="D106" s="124"/>
      <c r="E106" s="124"/>
      <c r="F106" s="124"/>
      <c r="G106" s="124"/>
      <c r="H106" s="124"/>
      <c r="I106" s="124"/>
      <c r="J106" s="124"/>
      <c r="K106" s="124"/>
      <c r="L106" s="124"/>
    </row>
    <row r="107" spans="1:14" x14ac:dyDescent="0.2">
      <c r="C107" s="129" t="s">
        <v>167</v>
      </c>
      <c r="D107" s="129" t="s">
        <v>168</v>
      </c>
      <c r="E107" s="129" t="s">
        <v>184</v>
      </c>
      <c r="F107" s="129" t="s">
        <v>185</v>
      </c>
      <c r="G107" s="129" t="s">
        <v>186</v>
      </c>
      <c r="H107" s="129" t="s">
        <v>187</v>
      </c>
      <c r="I107" s="129" t="s">
        <v>188</v>
      </c>
      <c r="J107" s="129" t="s">
        <v>350</v>
      </c>
      <c r="K107" s="129" t="s">
        <v>404</v>
      </c>
      <c r="L107" s="129" t="s">
        <v>403</v>
      </c>
      <c r="M107" s="129" t="s">
        <v>402</v>
      </c>
      <c r="N107" s="129" t="s">
        <v>401</v>
      </c>
    </row>
    <row r="108" spans="1:14" x14ac:dyDescent="0.2">
      <c r="C108" s="379"/>
      <c r="D108" s="144"/>
      <c r="E108" s="144"/>
      <c r="F108" s="144"/>
      <c r="G108" s="144"/>
      <c r="H108" s="144"/>
      <c r="I108" s="144"/>
      <c r="J108" s="144"/>
      <c r="K108" s="144"/>
      <c r="L108" s="144"/>
      <c r="N108" s="379" t="s">
        <v>486</v>
      </c>
    </row>
    <row r="109" spans="1:14" x14ac:dyDescent="0.2">
      <c r="C109" s="65"/>
      <c r="D109" s="129"/>
      <c r="E109" s="129"/>
      <c r="F109" s="144"/>
      <c r="G109" s="144"/>
      <c r="H109" s="144"/>
      <c r="I109" s="144"/>
      <c r="J109" s="144"/>
      <c r="K109" s="144"/>
      <c r="L109" s="144"/>
      <c r="M109" s="144"/>
    </row>
    <row r="110" spans="1:14" x14ac:dyDescent="0.2">
      <c r="C110" s="101" t="s">
        <v>487</v>
      </c>
      <c r="D110" s="129">
        <v>350.1</v>
      </c>
      <c r="E110" s="129">
        <v>350.2</v>
      </c>
      <c r="F110" s="129">
        <v>352</v>
      </c>
      <c r="G110" s="129">
        <v>353</v>
      </c>
      <c r="H110" s="129">
        <v>354</v>
      </c>
      <c r="I110" s="129">
        <v>355</v>
      </c>
      <c r="J110" s="129">
        <v>356</v>
      </c>
      <c r="K110" s="129">
        <v>357</v>
      </c>
      <c r="L110" s="129">
        <v>358</v>
      </c>
      <c r="M110" s="129">
        <v>359</v>
      </c>
      <c r="N110" s="64" t="s">
        <v>169</v>
      </c>
    </row>
    <row r="111" spans="1:14" x14ac:dyDescent="0.2">
      <c r="A111" s="60">
        <f>A103+1</f>
        <v>53</v>
      </c>
      <c r="C111" s="382" t="s">
        <v>489</v>
      </c>
      <c r="D111" s="152">
        <f t="shared" ref="D111:M122" si="10">D71-D91</f>
        <v>0</v>
      </c>
      <c r="E111" s="152">
        <f t="shared" si="10"/>
        <v>50271.280829527474</v>
      </c>
      <c r="F111" s="152">
        <f t="shared" si="10"/>
        <v>672486.31260414026</v>
      </c>
      <c r="G111" s="152">
        <f t="shared" si="10"/>
        <v>9362808.2480396777</v>
      </c>
      <c r="H111" s="152">
        <f t="shared" si="10"/>
        <v>-6920361.5796688898</v>
      </c>
      <c r="I111" s="152">
        <f t="shared" si="10"/>
        <v>1322968.8108071324</v>
      </c>
      <c r="J111" s="152">
        <f t="shared" si="10"/>
        <v>-5111115.1092176205</v>
      </c>
      <c r="K111" s="152">
        <f t="shared" si="10"/>
        <v>51594.482433260368</v>
      </c>
      <c r="L111" s="152">
        <f t="shared" si="10"/>
        <v>441394.41355382337</v>
      </c>
      <c r="M111" s="152">
        <f t="shared" si="10"/>
        <v>-4923192.806000988</v>
      </c>
      <c r="N111" s="187">
        <f t="shared" ref="N111:N122" si="11">SUM(D111:M111)</f>
        <v>-5053145.9466199372</v>
      </c>
    </row>
    <row r="112" spans="1:14" x14ac:dyDescent="0.2">
      <c r="A112" s="60">
        <f t="shared" ref="A112:A123" si="12">A111+1</f>
        <v>54</v>
      </c>
      <c r="C112" s="385" t="s">
        <v>490</v>
      </c>
      <c r="D112" s="152">
        <f t="shared" si="10"/>
        <v>0</v>
      </c>
      <c r="E112" s="274">
        <f t="shared" si="10"/>
        <v>60310.961680649983</v>
      </c>
      <c r="F112" s="152">
        <f t="shared" si="10"/>
        <v>-113292.14798780199</v>
      </c>
      <c r="G112" s="274">
        <f t="shared" si="10"/>
        <v>1916315.1734539019</v>
      </c>
      <c r="H112" s="152">
        <f t="shared" si="10"/>
        <v>-4144600.0797841949</v>
      </c>
      <c r="I112" s="152">
        <f t="shared" si="10"/>
        <v>-1485559.5234024853</v>
      </c>
      <c r="J112" s="152">
        <f t="shared" si="10"/>
        <v>-3205851.1013859529</v>
      </c>
      <c r="K112" s="152">
        <f t="shared" si="10"/>
        <v>68020.976098852858</v>
      </c>
      <c r="L112" s="152">
        <f t="shared" si="10"/>
        <v>500143.4890112232</v>
      </c>
      <c r="M112" s="152">
        <f t="shared" si="10"/>
        <v>-1482232.8854998003</v>
      </c>
      <c r="N112" s="384">
        <f t="shared" si="11"/>
        <v>-7886745.1378156068</v>
      </c>
    </row>
    <row r="113" spans="1:14" x14ac:dyDescent="0.2">
      <c r="A113" s="60">
        <f t="shared" si="12"/>
        <v>55</v>
      </c>
      <c r="C113" s="385" t="s">
        <v>491</v>
      </c>
      <c r="D113" s="152">
        <f t="shared" si="10"/>
        <v>0</v>
      </c>
      <c r="E113" s="274">
        <f t="shared" si="10"/>
        <v>34913.870762786857</v>
      </c>
      <c r="F113" s="152">
        <f t="shared" si="10"/>
        <v>-331163.62209800043</v>
      </c>
      <c r="G113" s="274">
        <f t="shared" si="10"/>
        <v>2600333.1764498306</v>
      </c>
      <c r="H113" s="152">
        <f t="shared" si="10"/>
        <v>1320404.6415105422</v>
      </c>
      <c r="I113" s="152">
        <f t="shared" si="10"/>
        <v>-3070450.7415191801</v>
      </c>
      <c r="J113" s="152">
        <f t="shared" si="10"/>
        <v>6904320.780520346</v>
      </c>
      <c r="K113" s="152">
        <f t="shared" si="10"/>
        <v>77066.484334259236</v>
      </c>
      <c r="L113" s="152">
        <f t="shared" si="10"/>
        <v>737354.96326122503</v>
      </c>
      <c r="M113" s="152">
        <f t="shared" si="10"/>
        <v>4858148.7168045565</v>
      </c>
      <c r="N113" s="384">
        <f t="shared" si="11"/>
        <v>13130928.270026367</v>
      </c>
    </row>
    <row r="114" spans="1:14" x14ac:dyDescent="0.2">
      <c r="A114" s="60">
        <f t="shared" si="12"/>
        <v>56</v>
      </c>
      <c r="C114" s="382" t="s">
        <v>531</v>
      </c>
      <c r="D114" s="152">
        <f t="shared" si="10"/>
        <v>0</v>
      </c>
      <c r="E114" s="274">
        <f t="shared" si="10"/>
        <v>34892.776786578092</v>
      </c>
      <c r="F114" s="152">
        <f t="shared" si="10"/>
        <v>246647.33617331227</v>
      </c>
      <c r="G114" s="274">
        <f t="shared" si="10"/>
        <v>2148098.1955358041</v>
      </c>
      <c r="H114" s="152">
        <f t="shared" si="10"/>
        <v>-900473.45515095838</v>
      </c>
      <c r="I114" s="152">
        <f t="shared" si="10"/>
        <v>409783.11802930431</v>
      </c>
      <c r="J114" s="152">
        <f t="shared" si="10"/>
        <v>-149237.17227294785</v>
      </c>
      <c r="K114" s="152">
        <f t="shared" si="10"/>
        <v>60892.232488869224</v>
      </c>
      <c r="L114" s="152">
        <f t="shared" si="10"/>
        <v>460760.67883420055</v>
      </c>
      <c r="M114" s="152">
        <f t="shared" si="10"/>
        <v>-352661.21337276691</v>
      </c>
      <c r="N114" s="384">
        <f t="shared" si="11"/>
        <v>1958702.4970513955</v>
      </c>
    </row>
    <row r="115" spans="1:14" x14ac:dyDescent="0.2">
      <c r="A115" s="60">
        <f t="shared" si="12"/>
        <v>57</v>
      </c>
      <c r="C115" s="385" t="s">
        <v>493</v>
      </c>
      <c r="D115" s="152">
        <f t="shared" si="10"/>
        <v>0</v>
      </c>
      <c r="E115" s="274">
        <f t="shared" si="10"/>
        <v>34964.180202996096</v>
      </c>
      <c r="F115" s="152">
        <f t="shared" si="10"/>
        <v>294475.90193290479</v>
      </c>
      <c r="G115" s="274">
        <f t="shared" si="10"/>
        <v>1365784.1716088774</v>
      </c>
      <c r="H115" s="152">
        <f t="shared" si="10"/>
        <v>-754992.24543806235</v>
      </c>
      <c r="I115" s="152">
        <f t="shared" si="10"/>
        <v>-699134.41005439567</v>
      </c>
      <c r="J115" s="152">
        <f t="shared" si="10"/>
        <v>5054449.1444572899</v>
      </c>
      <c r="K115" s="152">
        <f t="shared" si="10"/>
        <v>8718.7399178421292</v>
      </c>
      <c r="L115" s="152">
        <f t="shared" si="10"/>
        <v>21669.100952375011</v>
      </c>
      <c r="M115" s="152">
        <f t="shared" si="10"/>
        <v>-274028.70174164255</v>
      </c>
      <c r="N115" s="384">
        <f t="shared" si="11"/>
        <v>5051905.8818381848</v>
      </c>
    </row>
    <row r="116" spans="1:14" x14ac:dyDescent="0.2">
      <c r="A116" s="60">
        <f t="shared" si="12"/>
        <v>58</v>
      </c>
      <c r="C116" s="385" t="s">
        <v>494</v>
      </c>
      <c r="D116" s="152">
        <f t="shared" si="10"/>
        <v>0</v>
      </c>
      <c r="E116" s="274">
        <f t="shared" si="10"/>
        <v>229.5464279918524</v>
      </c>
      <c r="F116" s="152">
        <f t="shared" si="10"/>
        <v>181400.8571060368</v>
      </c>
      <c r="G116" s="274">
        <f t="shared" si="10"/>
        <v>6466161.7878853679</v>
      </c>
      <c r="H116" s="152">
        <f t="shared" si="10"/>
        <v>-1316199.6675997085</v>
      </c>
      <c r="I116" s="152">
        <f t="shared" si="10"/>
        <v>-756737.0191741162</v>
      </c>
      <c r="J116" s="152">
        <f t="shared" si="10"/>
        <v>-1552137.1577364698</v>
      </c>
      <c r="K116" s="152">
        <f t="shared" si="10"/>
        <v>40562.826498696064</v>
      </c>
      <c r="L116" s="152">
        <f t="shared" si="10"/>
        <v>370412.84854996065</v>
      </c>
      <c r="M116" s="152">
        <f t="shared" si="10"/>
        <v>-825863.79813348793</v>
      </c>
      <c r="N116" s="384">
        <f t="shared" si="11"/>
        <v>2607830.2238242701</v>
      </c>
    </row>
    <row r="117" spans="1:14" x14ac:dyDescent="0.2">
      <c r="A117" s="60">
        <f t="shared" si="12"/>
        <v>59</v>
      </c>
      <c r="C117" s="382" t="s">
        <v>495</v>
      </c>
      <c r="D117" s="152">
        <f t="shared" si="10"/>
        <v>0</v>
      </c>
      <c r="E117" s="274">
        <f t="shared" si="10"/>
        <v>72217.959724823944</v>
      </c>
      <c r="F117" s="152">
        <f t="shared" si="10"/>
        <v>780153.6930513205</v>
      </c>
      <c r="G117" s="274">
        <f t="shared" si="10"/>
        <v>1958412.9741782723</v>
      </c>
      <c r="H117" s="152">
        <f t="shared" si="10"/>
        <v>-1601558.7426646901</v>
      </c>
      <c r="I117" s="152">
        <f t="shared" si="10"/>
        <v>-80063.989350119838</v>
      </c>
      <c r="J117" s="152">
        <f t="shared" si="10"/>
        <v>572804.25310097449</v>
      </c>
      <c r="K117" s="152">
        <f t="shared" si="10"/>
        <v>78632.769924943059</v>
      </c>
      <c r="L117" s="152">
        <f t="shared" si="10"/>
        <v>511425.67125860316</v>
      </c>
      <c r="M117" s="152">
        <f t="shared" si="10"/>
        <v>-121409.1406405102</v>
      </c>
      <c r="N117" s="384">
        <f t="shared" si="11"/>
        <v>2170615.4485836173</v>
      </c>
    </row>
    <row r="118" spans="1:14" x14ac:dyDescent="0.2">
      <c r="A118" s="60">
        <f t="shared" si="12"/>
        <v>60</v>
      </c>
      <c r="C118" s="385" t="s">
        <v>496</v>
      </c>
      <c r="D118" s="152">
        <f t="shared" si="10"/>
        <v>0</v>
      </c>
      <c r="E118" s="274">
        <f t="shared" si="10"/>
        <v>187335.15992568972</v>
      </c>
      <c r="F118" s="152">
        <f t="shared" si="10"/>
        <v>-206044.92281862709</v>
      </c>
      <c r="G118" s="274">
        <f t="shared" si="10"/>
        <v>-9237140.4186094627</v>
      </c>
      <c r="H118" s="152">
        <f t="shared" si="10"/>
        <v>-759240.54986956948</v>
      </c>
      <c r="I118" s="152">
        <f t="shared" si="10"/>
        <v>-1788515.4643722163</v>
      </c>
      <c r="J118" s="152">
        <f t="shared" si="10"/>
        <v>261340.79755482264</v>
      </c>
      <c r="K118" s="152">
        <f t="shared" si="10"/>
        <v>69059.748879390347</v>
      </c>
      <c r="L118" s="152">
        <f t="shared" si="10"/>
        <v>417549.11919620569</v>
      </c>
      <c r="M118" s="152">
        <f t="shared" si="10"/>
        <v>-498798.72209954367</v>
      </c>
      <c r="N118" s="384">
        <f t="shared" si="11"/>
        <v>-11554455.25221331</v>
      </c>
    </row>
    <row r="119" spans="1:14" x14ac:dyDescent="0.2">
      <c r="A119" s="60">
        <f t="shared" si="12"/>
        <v>61</v>
      </c>
      <c r="C119" s="385" t="s">
        <v>497</v>
      </c>
      <c r="D119" s="152">
        <f t="shared" si="10"/>
        <v>0</v>
      </c>
      <c r="E119" s="274">
        <f t="shared" si="10"/>
        <v>59612.078069278592</v>
      </c>
      <c r="F119" s="152">
        <f t="shared" si="10"/>
        <v>-177008.30776324868</v>
      </c>
      <c r="G119" s="274">
        <f t="shared" si="10"/>
        <v>1905889.3978863917</v>
      </c>
      <c r="H119" s="152">
        <f t="shared" si="10"/>
        <v>-1052241.9046892934</v>
      </c>
      <c r="I119" s="152">
        <f t="shared" si="10"/>
        <v>721033.24098695139</v>
      </c>
      <c r="J119" s="152">
        <f t="shared" si="10"/>
        <v>1241238.5653379885</v>
      </c>
      <c r="K119" s="152">
        <f t="shared" si="10"/>
        <v>82746.774629963664</v>
      </c>
      <c r="L119" s="152">
        <f t="shared" si="10"/>
        <v>402804.94952984829</v>
      </c>
      <c r="M119" s="152">
        <f t="shared" si="10"/>
        <v>4255146.6347714448</v>
      </c>
      <c r="N119" s="384">
        <f t="shared" si="11"/>
        <v>7439221.4287593244</v>
      </c>
    </row>
    <row r="120" spans="1:14" x14ac:dyDescent="0.2">
      <c r="A120" s="60">
        <f t="shared" si="12"/>
        <v>62</v>
      </c>
      <c r="C120" s="382" t="s">
        <v>498</v>
      </c>
      <c r="D120" s="152">
        <f t="shared" si="10"/>
        <v>0</v>
      </c>
      <c r="E120" s="274">
        <f t="shared" si="10"/>
        <v>63549.79071039753</v>
      </c>
      <c r="F120" s="152">
        <f t="shared" si="10"/>
        <v>326293.82200667821</v>
      </c>
      <c r="G120" s="274">
        <f t="shared" si="10"/>
        <v>5086717.8205632763</v>
      </c>
      <c r="H120" s="152">
        <f t="shared" si="10"/>
        <v>5294405.9844627362</v>
      </c>
      <c r="I120" s="152">
        <f t="shared" si="10"/>
        <v>-2634488.8059752416</v>
      </c>
      <c r="J120" s="152">
        <f t="shared" si="10"/>
        <v>2586232.1116388422</v>
      </c>
      <c r="K120" s="152">
        <f t="shared" si="10"/>
        <v>78266.137142245949</v>
      </c>
      <c r="L120" s="152">
        <f t="shared" si="10"/>
        <v>444843.66514911148</v>
      </c>
      <c r="M120" s="152">
        <f t="shared" si="10"/>
        <v>19743.007604153026</v>
      </c>
      <c r="N120" s="384">
        <f t="shared" si="11"/>
        <v>11265563.533302201</v>
      </c>
    </row>
    <row r="121" spans="1:14" x14ac:dyDescent="0.2">
      <c r="A121" s="60">
        <f t="shared" si="12"/>
        <v>63</v>
      </c>
      <c r="C121" s="382" t="s">
        <v>499</v>
      </c>
      <c r="D121" s="152">
        <f t="shared" si="10"/>
        <v>0</v>
      </c>
      <c r="E121" s="274">
        <f t="shared" si="10"/>
        <v>118822.31131793195</v>
      </c>
      <c r="F121" s="152">
        <f t="shared" si="10"/>
        <v>-261108.90484208765</v>
      </c>
      <c r="G121" s="274">
        <f t="shared" si="10"/>
        <v>-7332553.2933343044</v>
      </c>
      <c r="H121" s="152">
        <f t="shared" si="10"/>
        <v>-1346227.8268061145</v>
      </c>
      <c r="I121" s="152">
        <f t="shared" si="10"/>
        <v>1274083.8127237067</v>
      </c>
      <c r="J121" s="152">
        <f t="shared" si="10"/>
        <v>-3826515.9017339768</v>
      </c>
      <c r="K121" s="152">
        <f t="shared" si="10"/>
        <v>83441.368476505624</v>
      </c>
      <c r="L121" s="152">
        <f t="shared" si="10"/>
        <v>497238.47348929517</v>
      </c>
      <c r="M121" s="152">
        <f t="shared" si="10"/>
        <v>4034.9396736574563</v>
      </c>
      <c r="N121" s="384">
        <f t="shared" si="11"/>
        <v>-10788785.021035386</v>
      </c>
    </row>
    <row r="122" spans="1:14" x14ac:dyDescent="0.2">
      <c r="A122" s="60">
        <f t="shared" si="12"/>
        <v>64</v>
      </c>
      <c r="C122" s="385" t="s">
        <v>500</v>
      </c>
      <c r="D122" s="260">
        <f t="shared" si="10"/>
        <v>0</v>
      </c>
      <c r="E122" s="273">
        <f t="shared" si="10"/>
        <v>56400.130177675193</v>
      </c>
      <c r="F122" s="260">
        <f t="shared" si="10"/>
        <v>-3906206.6095740404</v>
      </c>
      <c r="G122" s="273">
        <f t="shared" si="10"/>
        <v>-32406563.799901273</v>
      </c>
      <c r="H122" s="260">
        <f t="shared" si="10"/>
        <v>-1021681.7407500446</v>
      </c>
      <c r="I122" s="260">
        <f t="shared" si="10"/>
        <v>2595923.5232391213</v>
      </c>
      <c r="J122" s="260">
        <f t="shared" si="10"/>
        <v>-481230.9397589236</v>
      </c>
      <c r="K122" s="260">
        <f t="shared" si="10"/>
        <v>78744.533350714424</v>
      </c>
      <c r="L122" s="260">
        <f t="shared" si="10"/>
        <v>246622.9061625046</v>
      </c>
      <c r="M122" s="260">
        <f t="shared" si="10"/>
        <v>-38747.240695112429</v>
      </c>
      <c r="N122" s="427">
        <f t="shared" si="11"/>
        <v>-34876739.237749375</v>
      </c>
    </row>
    <row r="123" spans="1:14" x14ac:dyDescent="0.2">
      <c r="A123" s="60">
        <f t="shared" si="12"/>
        <v>65</v>
      </c>
      <c r="C123" s="393" t="s">
        <v>532</v>
      </c>
      <c r="D123" s="187">
        <f>SUM(D111:D122)</f>
        <v>0</v>
      </c>
      <c r="E123" s="384">
        <f t="shared" ref="E123:M123" si="13">SUM(E111:E122)</f>
        <v>773520.04661632725</v>
      </c>
      <c r="F123" s="187">
        <f t="shared" si="13"/>
        <v>-2493366.5922094132</v>
      </c>
      <c r="G123" s="384">
        <f t="shared" si="13"/>
        <v>-16165736.566243641</v>
      </c>
      <c r="H123" s="187">
        <f t="shared" si="13"/>
        <v>-13202767.166448245</v>
      </c>
      <c r="I123" s="187">
        <f t="shared" si="13"/>
        <v>-4191157.4480615384</v>
      </c>
      <c r="J123" s="187">
        <f t="shared" si="13"/>
        <v>2294298.2705043722</v>
      </c>
      <c r="K123" s="187">
        <f t="shared" si="13"/>
        <v>777747.07417554292</v>
      </c>
      <c r="L123" s="187">
        <f t="shared" si="13"/>
        <v>5052220.278948376</v>
      </c>
      <c r="M123" s="187">
        <f t="shared" si="13"/>
        <v>620138.79066995997</v>
      </c>
      <c r="N123" s="384">
        <f>SUM(N111:N122)</f>
        <v>-26535103.312048256</v>
      </c>
    </row>
    <row r="125" spans="1:14" x14ac:dyDescent="0.2">
      <c r="C125" s="56" t="s">
        <v>579</v>
      </c>
    </row>
    <row r="127" spans="1:14" x14ac:dyDescent="0.2">
      <c r="C127" s="225" t="s">
        <v>580</v>
      </c>
    </row>
    <row r="128" spans="1:14" x14ac:dyDescent="0.2">
      <c r="C128" s="62"/>
      <c r="D128" s="129">
        <v>350.1</v>
      </c>
      <c r="E128" s="129">
        <v>350.2</v>
      </c>
      <c r="F128" s="129">
        <v>352</v>
      </c>
      <c r="G128" s="129">
        <v>353</v>
      </c>
      <c r="H128" s="129">
        <v>354</v>
      </c>
      <c r="I128" s="129">
        <v>355</v>
      </c>
      <c r="J128" s="129">
        <v>356</v>
      </c>
      <c r="K128" s="129">
        <v>357</v>
      </c>
      <c r="L128" s="129">
        <v>358</v>
      </c>
      <c r="M128" s="129">
        <v>359</v>
      </c>
      <c r="N128" s="64" t="s">
        <v>169</v>
      </c>
    </row>
    <row r="129" spans="1:14" x14ac:dyDescent="0.2">
      <c r="A129" s="60">
        <f>A123+1</f>
        <v>66</v>
      </c>
      <c r="C129" s="62"/>
      <c r="D129" s="121">
        <f t="shared" ref="D129:M129" si="14">D24-D12</f>
        <v>0</v>
      </c>
      <c r="E129" s="275">
        <f t="shared" si="14"/>
        <v>2000187.0901754415</v>
      </c>
      <c r="F129" s="121">
        <f t="shared" si="14"/>
        <v>4521674.2627866194</v>
      </c>
      <c r="G129" s="275">
        <f t="shared" si="14"/>
        <v>26614851.984707892</v>
      </c>
      <c r="H129" s="121">
        <f t="shared" si="14"/>
        <v>-8685524.5095578432</v>
      </c>
      <c r="I129" s="121">
        <f t="shared" si="14"/>
        <v>-3623604.037573956</v>
      </c>
      <c r="J129" s="121">
        <f t="shared" si="14"/>
        <v>9576209.5177887082</v>
      </c>
      <c r="K129" s="121">
        <f t="shared" si="14"/>
        <v>-138764.22837335896</v>
      </c>
      <c r="L129" s="121">
        <f t="shared" si="14"/>
        <v>3009252.5195539156</v>
      </c>
      <c r="M129" s="121">
        <f t="shared" si="14"/>
        <v>1384772.6977941962</v>
      </c>
      <c r="N129" s="275">
        <f>SUM(D129:M129)</f>
        <v>34659055.297301613</v>
      </c>
    </row>
    <row r="130" spans="1:14" x14ac:dyDescent="0.2">
      <c r="C130" s="62"/>
    </row>
    <row r="131" spans="1:14" x14ac:dyDescent="0.2">
      <c r="C131" s="225" t="s">
        <v>581</v>
      </c>
    </row>
    <row r="132" spans="1:14" x14ac:dyDescent="0.2">
      <c r="C132" s="62"/>
      <c r="D132" s="129">
        <v>350.1</v>
      </c>
      <c r="E132" s="129">
        <v>350.2</v>
      </c>
      <c r="F132" s="129">
        <v>352</v>
      </c>
      <c r="G132" s="129">
        <v>353</v>
      </c>
      <c r="H132" s="129">
        <v>354</v>
      </c>
      <c r="I132" s="129">
        <v>355</v>
      </c>
      <c r="J132" s="129">
        <v>356</v>
      </c>
      <c r="K132" s="129">
        <v>357</v>
      </c>
      <c r="L132" s="129">
        <v>358</v>
      </c>
      <c r="M132" s="129">
        <v>359</v>
      </c>
      <c r="N132" s="64" t="s">
        <v>169</v>
      </c>
    </row>
    <row r="133" spans="1:14" x14ac:dyDescent="0.2">
      <c r="A133" s="60">
        <f>A129+1</f>
        <v>67</v>
      </c>
      <c r="C133" s="62"/>
      <c r="D133" s="121">
        <f t="shared" ref="D133:M133" si="15">D103</f>
        <v>0</v>
      </c>
      <c r="E133" s="275">
        <f t="shared" si="15"/>
        <v>2112358.3433836736</v>
      </c>
      <c r="F133" s="121">
        <f t="shared" si="15"/>
        <v>7005987.4165241569</v>
      </c>
      <c r="G133" s="275">
        <f t="shared" si="15"/>
        <v>60430611.759078726</v>
      </c>
      <c r="H133" s="121">
        <f t="shared" si="15"/>
        <v>26069660.935793053</v>
      </c>
      <c r="I133" s="121">
        <f t="shared" si="15"/>
        <v>5386529.3765342664</v>
      </c>
      <c r="J133" s="121">
        <f t="shared" si="15"/>
        <v>19197395.725759134</v>
      </c>
      <c r="K133" s="121">
        <f t="shared" si="15"/>
        <v>6974.0007429506913</v>
      </c>
      <c r="L133" s="121">
        <f t="shared" si="15"/>
        <v>239823.00014068725</v>
      </c>
      <c r="M133" s="121">
        <f t="shared" si="15"/>
        <v>885171.19227122958</v>
      </c>
      <c r="N133" s="275">
        <f>SUM(D133:M133)</f>
        <v>121334511.75022788</v>
      </c>
    </row>
    <row r="134" spans="1:14" x14ac:dyDescent="0.2">
      <c r="C134" s="225" t="s">
        <v>582</v>
      </c>
    </row>
    <row r="135" spans="1:14" x14ac:dyDescent="0.2">
      <c r="D135" s="129">
        <v>350.1</v>
      </c>
      <c r="E135" s="129">
        <v>350.2</v>
      </c>
      <c r="F135" s="129">
        <v>352</v>
      </c>
      <c r="G135" s="129">
        <v>353</v>
      </c>
      <c r="H135" s="129">
        <v>354</v>
      </c>
      <c r="I135" s="129">
        <v>355</v>
      </c>
      <c r="J135" s="129">
        <v>356</v>
      </c>
      <c r="K135" s="129">
        <v>357</v>
      </c>
      <c r="L135" s="129">
        <v>358</v>
      </c>
      <c r="M135" s="129">
        <v>359</v>
      </c>
      <c r="N135" s="64" t="s">
        <v>169</v>
      </c>
    </row>
    <row r="136" spans="1:14" x14ac:dyDescent="0.2">
      <c r="A136" s="60">
        <f>A133+1</f>
        <v>68</v>
      </c>
      <c r="D136" s="121">
        <f t="shared" ref="D136:M136" si="16">D129-D133</f>
        <v>0</v>
      </c>
      <c r="E136" s="275">
        <f t="shared" si="16"/>
        <v>-112171.25320823211</v>
      </c>
      <c r="F136" s="121">
        <f t="shared" si="16"/>
        <v>-2484313.1537375376</v>
      </c>
      <c r="G136" s="275">
        <f t="shared" si="16"/>
        <v>-33815759.774370834</v>
      </c>
      <c r="H136" s="121">
        <f t="shared" si="16"/>
        <v>-34755185.4453509</v>
      </c>
      <c r="I136" s="121">
        <f t="shared" si="16"/>
        <v>-9010133.4141082224</v>
      </c>
      <c r="J136" s="121">
        <f t="shared" si="16"/>
        <v>-9621186.2079704255</v>
      </c>
      <c r="K136" s="121">
        <f t="shared" si="16"/>
        <v>-145738.22911630964</v>
      </c>
      <c r="L136" s="121">
        <f t="shared" si="16"/>
        <v>2769429.5194132281</v>
      </c>
      <c r="M136" s="121">
        <f t="shared" si="16"/>
        <v>499601.50552296662</v>
      </c>
      <c r="N136" s="275">
        <f>SUM(D136:M136)</f>
        <v>-86675456.452926248</v>
      </c>
    </row>
    <row r="138" spans="1:14" x14ac:dyDescent="0.2">
      <c r="C138" s="56" t="s">
        <v>583</v>
      </c>
      <c r="D138" s="124"/>
      <c r="E138" s="124"/>
      <c r="F138" s="124"/>
      <c r="G138" s="124"/>
      <c r="H138" s="124"/>
      <c r="I138" s="124"/>
      <c r="J138" s="124"/>
      <c r="K138" s="124"/>
      <c r="L138" s="124"/>
    </row>
    <row r="139" spans="1:14" x14ac:dyDescent="0.2">
      <c r="C139" s="124"/>
      <c r="D139" s="124"/>
      <c r="E139" s="124"/>
      <c r="F139" s="124"/>
      <c r="G139" s="124"/>
      <c r="H139" s="124"/>
      <c r="I139" s="124"/>
      <c r="J139" s="124"/>
      <c r="K139" s="124"/>
      <c r="L139" s="124"/>
    </row>
    <row r="140" spans="1:14" x14ac:dyDescent="0.2">
      <c r="C140" s="129" t="s">
        <v>167</v>
      </c>
      <c r="D140" s="129" t="s">
        <v>168</v>
      </c>
      <c r="E140" s="129" t="s">
        <v>184</v>
      </c>
      <c r="F140" s="129" t="s">
        <v>185</v>
      </c>
      <c r="G140" s="129" t="s">
        <v>186</v>
      </c>
      <c r="H140" s="129" t="s">
        <v>187</v>
      </c>
      <c r="I140" s="129" t="s">
        <v>188</v>
      </c>
      <c r="J140" s="129" t="s">
        <v>350</v>
      </c>
      <c r="K140" s="129" t="s">
        <v>404</v>
      </c>
      <c r="L140" s="129" t="s">
        <v>403</v>
      </c>
      <c r="M140" s="129" t="s">
        <v>402</v>
      </c>
      <c r="N140" s="129" t="s">
        <v>401</v>
      </c>
    </row>
    <row r="141" spans="1:14" x14ac:dyDescent="0.2">
      <c r="C141" s="379"/>
      <c r="D141" s="144"/>
      <c r="E141" s="144"/>
      <c r="F141" s="144"/>
      <c r="G141" s="144"/>
      <c r="H141" s="144"/>
      <c r="I141" s="144"/>
      <c r="J141" s="144"/>
      <c r="K141" s="144"/>
      <c r="L141" s="144"/>
      <c r="N141" s="379" t="s">
        <v>486</v>
      </c>
    </row>
    <row r="142" spans="1:14" x14ac:dyDescent="0.2">
      <c r="C142" s="65"/>
      <c r="D142" s="129"/>
      <c r="E142" s="129"/>
      <c r="F142" s="144"/>
      <c r="G142" s="144"/>
      <c r="H142" s="144"/>
      <c r="I142" s="144"/>
      <c r="J142" s="144"/>
      <c r="K142" s="144"/>
      <c r="L142" s="144"/>
      <c r="M142" s="144"/>
    </row>
    <row r="143" spans="1:14" x14ac:dyDescent="0.2">
      <c r="C143" s="101" t="s">
        <v>487</v>
      </c>
      <c r="D143" s="129">
        <v>350.1</v>
      </c>
      <c r="E143" s="129">
        <v>350.2</v>
      </c>
      <c r="F143" s="129">
        <v>352</v>
      </c>
      <c r="G143" s="129">
        <v>353</v>
      </c>
      <c r="H143" s="129">
        <v>354</v>
      </c>
      <c r="I143" s="129">
        <v>355</v>
      </c>
      <c r="J143" s="129">
        <v>356</v>
      </c>
      <c r="K143" s="129">
        <v>357</v>
      </c>
      <c r="L143" s="129">
        <v>358</v>
      </c>
      <c r="M143" s="129">
        <v>359</v>
      </c>
      <c r="N143" s="64" t="s">
        <v>169</v>
      </c>
    </row>
    <row r="144" spans="1:14" x14ac:dyDescent="0.2">
      <c r="A144" s="60">
        <f>A136+1</f>
        <v>69</v>
      </c>
      <c r="C144" s="382" t="s">
        <v>489</v>
      </c>
      <c r="D144" s="184">
        <v>0</v>
      </c>
      <c r="E144" s="384">
        <f t="shared" ref="E144:M155" si="17">E111*(E$136/E$123)</f>
        <v>-7290.0406339799238</v>
      </c>
      <c r="F144" s="184">
        <f t="shared" si="17"/>
        <v>670044.5082287374</v>
      </c>
      <c r="G144" s="384">
        <f t="shared" si="17"/>
        <v>19585279.843687128</v>
      </c>
      <c r="H144" s="184">
        <f t="shared" si="17"/>
        <v>-18217275.743640725</v>
      </c>
      <c r="I144" s="184">
        <f t="shared" si="17"/>
        <v>2844113.0250522005</v>
      </c>
      <c r="J144" s="184">
        <f t="shared" si="17"/>
        <v>21433564.601582222</v>
      </c>
      <c r="K144" s="184">
        <f t="shared" si="17"/>
        <v>-9668.0383014835443</v>
      </c>
      <c r="L144" s="184">
        <f t="shared" si="17"/>
        <v>241955.15062824904</v>
      </c>
      <c r="M144" s="184">
        <f t="shared" si="17"/>
        <v>-3966264.6086059115</v>
      </c>
      <c r="N144" s="384">
        <f t="shared" ref="N144:N155" si="18">SUM(D144:M144)</f>
        <v>22574458.697996441</v>
      </c>
    </row>
    <row r="145" spans="1:14" x14ac:dyDescent="0.2">
      <c r="A145" s="60">
        <f t="shared" ref="A145:A156" si="19">A144+1</f>
        <v>70</v>
      </c>
      <c r="C145" s="385" t="s">
        <v>490</v>
      </c>
      <c r="D145" s="184">
        <v>0</v>
      </c>
      <c r="E145" s="384">
        <f t="shared" si="17"/>
        <v>-8745.935135754471</v>
      </c>
      <c r="F145" s="184">
        <f t="shared" si="17"/>
        <v>-112880.78309089554</v>
      </c>
      <c r="G145" s="384">
        <f t="shared" si="17"/>
        <v>4008580.3261704757</v>
      </c>
      <c r="H145" s="184">
        <f t="shared" si="17"/>
        <v>-10910314.675227785</v>
      </c>
      <c r="I145" s="184">
        <f t="shared" si="17"/>
        <v>-3193649.8846270228</v>
      </c>
      <c r="J145" s="184">
        <f t="shared" si="17"/>
        <v>13443801.443776814</v>
      </c>
      <c r="K145" s="184">
        <f t="shared" si="17"/>
        <v>-12746.118794362894</v>
      </c>
      <c r="L145" s="184">
        <f t="shared" si="17"/>
        <v>274159.0955923876</v>
      </c>
      <c r="M145" s="184">
        <f t="shared" si="17"/>
        <v>-1194129.1083103067</v>
      </c>
      <c r="N145" s="384">
        <f t="shared" si="18"/>
        <v>2294074.3603535481</v>
      </c>
    </row>
    <row r="146" spans="1:14" x14ac:dyDescent="0.2">
      <c r="A146" s="60">
        <f t="shared" si="19"/>
        <v>71</v>
      </c>
      <c r="C146" s="385" t="s">
        <v>491</v>
      </c>
      <c r="D146" s="184">
        <v>0</v>
      </c>
      <c r="E146" s="384">
        <f t="shared" si="17"/>
        <v>-5063.0008297051827</v>
      </c>
      <c r="F146" s="184">
        <f t="shared" si="17"/>
        <v>-329961.16374865238</v>
      </c>
      <c r="G146" s="384">
        <f t="shared" si="17"/>
        <v>5439420.69498826</v>
      </c>
      <c r="H146" s="184">
        <f t="shared" si="17"/>
        <v>3475855.2960944446</v>
      </c>
      <c r="I146" s="184">
        <f t="shared" si="17"/>
        <v>-6600842.6467802618</v>
      </c>
      <c r="J146" s="184">
        <f t="shared" si="17"/>
        <v>-28953408.858362023</v>
      </c>
      <c r="K146" s="184">
        <f t="shared" si="17"/>
        <v>-14441.112443914801</v>
      </c>
      <c r="L146" s="184">
        <f t="shared" si="17"/>
        <v>404189.14631460764</v>
      </c>
      <c r="M146" s="184">
        <f t="shared" si="17"/>
        <v>3913863.2343058125</v>
      </c>
      <c r="N146" s="384">
        <f t="shared" si="18"/>
        <v>-22670388.410461433</v>
      </c>
    </row>
    <row r="147" spans="1:14" x14ac:dyDescent="0.2">
      <c r="A147" s="60">
        <f t="shared" si="19"/>
        <v>72</v>
      </c>
      <c r="C147" s="382" t="s">
        <v>531</v>
      </c>
      <c r="D147" s="184">
        <v>0</v>
      </c>
      <c r="E147" s="384">
        <f t="shared" si="17"/>
        <v>-5059.9419073710651</v>
      </c>
      <c r="F147" s="184">
        <f t="shared" si="17"/>
        <v>245751.75728440192</v>
      </c>
      <c r="G147" s="384">
        <f t="shared" si="17"/>
        <v>4493427.952035293</v>
      </c>
      <c r="H147" s="184">
        <f t="shared" si="17"/>
        <v>-2370421.4069546894</v>
      </c>
      <c r="I147" s="184">
        <f t="shared" si="17"/>
        <v>880950.09792604577</v>
      </c>
      <c r="J147" s="184">
        <f t="shared" si="17"/>
        <v>625829.10079662025</v>
      </c>
      <c r="K147" s="184">
        <f t="shared" si="17"/>
        <v>-11410.298314877902</v>
      </c>
      <c r="L147" s="184">
        <f t="shared" si="17"/>
        <v>252570.97966716575</v>
      </c>
      <c r="M147" s="184">
        <f t="shared" si="17"/>
        <v>-284113.93673704163</v>
      </c>
      <c r="N147" s="384">
        <f t="shared" si="18"/>
        <v>3827524.3037955468</v>
      </c>
    </row>
    <row r="148" spans="1:14" x14ac:dyDescent="0.2">
      <c r="A148" s="60">
        <f t="shared" si="19"/>
        <v>73</v>
      </c>
      <c r="C148" s="385" t="s">
        <v>493</v>
      </c>
      <c r="D148" s="184">
        <v>0</v>
      </c>
      <c r="E148" s="384">
        <f t="shared" si="17"/>
        <v>-5070.2964039842991</v>
      </c>
      <c r="F148" s="184">
        <f t="shared" si="17"/>
        <v>293406.6570541414</v>
      </c>
      <c r="G148" s="384">
        <f t="shared" si="17"/>
        <v>2856970.3125810414</v>
      </c>
      <c r="H148" s="184">
        <f t="shared" si="17"/>
        <v>-1987454.2335855411</v>
      </c>
      <c r="I148" s="184">
        <f t="shared" si="17"/>
        <v>-1502996.3409982249</v>
      </c>
      <c r="J148" s="184">
        <f t="shared" si="17"/>
        <v>-21195934.732082482</v>
      </c>
      <c r="K148" s="184">
        <f t="shared" si="17"/>
        <v>-1633.762129030132</v>
      </c>
      <c r="L148" s="184">
        <f t="shared" si="17"/>
        <v>11878.153469813475</v>
      </c>
      <c r="M148" s="184">
        <f t="shared" si="17"/>
        <v>-220765.34157575382</v>
      </c>
      <c r="N148" s="384">
        <f t="shared" si="18"/>
        <v>-21751599.58367002</v>
      </c>
    </row>
    <row r="149" spans="1:14" x14ac:dyDescent="0.2">
      <c r="A149" s="60">
        <f t="shared" si="19"/>
        <v>74</v>
      </c>
      <c r="C149" s="385" t="s">
        <v>494</v>
      </c>
      <c r="D149" s="184">
        <v>0</v>
      </c>
      <c r="E149" s="384">
        <f t="shared" si="17"/>
        <v>-33.287450803574039</v>
      </c>
      <c r="F149" s="184">
        <f t="shared" si="17"/>
        <v>180742.18882048005</v>
      </c>
      <c r="G149" s="384">
        <f t="shared" si="17"/>
        <v>13526026.035704255</v>
      </c>
      <c r="H149" s="184">
        <f t="shared" si="17"/>
        <v>-3464786.0523350546</v>
      </c>
      <c r="I149" s="184">
        <f t="shared" si="17"/>
        <v>-1626830.1982563091</v>
      </c>
      <c r="J149" s="184">
        <f t="shared" si="17"/>
        <v>6508918.5686434843</v>
      </c>
      <c r="K149" s="184">
        <f t="shared" si="17"/>
        <v>-7600.8701262408149</v>
      </c>
      <c r="L149" s="184">
        <f t="shared" si="17"/>
        <v>203045.83341677458</v>
      </c>
      <c r="M149" s="184">
        <f t="shared" si="17"/>
        <v>-665339.44193146692</v>
      </c>
      <c r="N149" s="384">
        <f t="shared" si="18"/>
        <v>14654142.776485119</v>
      </c>
    </row>
    <row r="150" spans="1:14" x14ac:dyDescent="0.2">
      <c r="A150" s="60">
        <f t="shared" si="19"/>
        <v>75</v>
      </c>
      <c r="C150" s="382" t="s">
        <v>495</v>
      </c>
      <c r="D150" s="184">
        <v>0</v>
      </c>
      <c r="E150" s="384">
        <f t="shared" si="17"/>
        <v>-10472.616814407129</v>
      </c>
      <c r="F150" s="184">
        <f t="shared" si="17"/>
        <v>777320.94736493984</v>
      </c>
      <c r="G150" s="384">
        <f t="shared" si="17"/>
        <v>4096641.2141164821</v>
      </c>
      <c r="H150" s="184">
        <f t="shared" si="17"/>
        <v>-4215970.0615176735</v>
      </c>
      <c r="I150" s="184">
        <f t="shared" si="17"/>
        <v>-172121.24207931393</v>
      </c>
      <c r="J150" s="184">
        <f t="shared" si="17"/>
        <v>-2402066.2224490806</v>
      </c>
      <c r="K150" s="184">
        <f t="shared" si="17"/>
        <v>-14734.611057867969</v>
      </c>
      <c r="L150" s="184">
        <f t="shared" si="17"/>
        <v>280343.54655338125</v>
      </c>
      <c r="M150" s="184">
        <f t="shared" si="17"/>
        <v>-97810.668129176789</v>
      </c>
      <c r="N150" s="384">
        <f t="shared" si="18"/>
        <v>-1758869.7140127167</v>
      </c>
    </row>
    <row r="151" spans="1:14" x14ac:dyDescent="0.2">
      <c r="A151" s="60">
        <f t="shared" si="19"/>
        <v>76</v>
      </c>
      <c r="C151" s="385" t="s">
        <v>496</v>
      </c>
      <c r="D151" s="184">
        <v>0</v>
      </c>
      <c r="E151" s="384">
        <f t="shared" si="17"/>
        <v>-27166.225039352001</v>
      </c>
      <c r="F151" s="184">
        <f t="shared" si="17"/>
        <v>-205296.7716895435</v>
      </c>
      <c r="G151" s="384">
        <f t="shared" si="17"/>
        <v>-19322405.763439376</v>
      </c>
      <c r="H151" s="184">
        <f t="shared" si="17"/>
        <v>-1998637.5413333711</v>
      </c>
      <c r="I151" s="184">
        <f t="shared" si="17"/>
        <v>-3844943.3472471107</v>
      </c>
      <c r="J151" s="184">
        <f t="shared" si="17"/>
        <v>-1095937.9211237822</v>
      </c>
      <c r="K151" s="184">
        <f t="shared" si="17"/>
        <v>-12940.769356887015</v>
      </c>
      <c r="L151" s="184">
        <f t="shared" si="17"/>
        <v>228884.09306406265</v>
      </c>
      <c r="M151" s="184">
        <f t="shared" si="17"/>
        <v>-401846.48382443999</v>
      </c>
      <c r="N151" s="384">
        <f t="shared" si="18"/>
        <v>-26680290.729989801</v>
      </c>
    </row>
    <row r="152" spans="1:14" x14ac:dyDescent="0.2">
      <c r="A152" s="60">
        <f t="shared" si="19"/>
        <v>77</v>
      </c>
      <c r="C152" s="385" t="s">
        <v>497</v>
      </c>
      <c r="D152" s="184">
        <v>0</v>
      </c>
      <c r="E152" s="384">
        <f t="shared" si="17"/>
        <v>-8644.5872122233977</v>
      </c>
      <c r="F152" s="184">
        <f t="shared" si="17"/>
        <v>-176365.58886729789</v>
      </c>
      <c r="G152" s="384">
        <f t="shared" si="17"/>
        <v>3986771.5134010892</v>
      </c>
      <c r="H152" s="184">
        <f t="shared" si="17"/>
        <v>-2769939.215756373</v>
      </c>
      <c r="I152" s="184">
        <f t="shared" si="17"/>
        <v>1550074.3596029866</v>
      </c>
      <c r="J152" s="184">
        <f t="shared" si="17"/>
        <v>-5205159.0323543744</v>
      </c>
      <c r="K152" s="184">
        <f t="shared" si="17"/>
        <v>-15505.514324744858</v>
      </c>
      <c r="L152" s="184">
        <f t="shared" si="17"/>
        <v>220801.91602926663</v>
      </c>
      <c r="M152" s="184">
        <f t="shared" si="17"/>
        <v>3428067.5502594039</v>
      </c>
      <c r="N152" s="384">
        <f t="shared" si="18"/>
        <v>1010101.400777733</v>
      </c>
    </row>
    <row r="153" spans="1:14" x14ac:dyDescent="0.2">
      <c r="A153" s="60">
        <f t="shared" si="19"/>
        <v>78</v>
      </c>
      <c r="C153" s="382" t="s">
        <v>498</v>
      </c>
      <c r="D153" s="184">
        <v>0</v>
      </c>
      <c r="E153" s="384">
        <f t="shared" si="17"/>
        <v>-9215.610760559819</v>
      </c>
      <c r="F153" s="184">
        <f t="shared" si="17"/>
        <v>325109.04594906972</v>
      </c>
      <c r="G153" s="384">
        <f t="shared" si="17"/>
        <v>10640481.932593336</v>
      </c>
      <c r="H153" s="184">
        <f t="shared" si="17"/>
        <v>13937082.998827064</v>
      </c>
      <c r="I153" s="184">
        <f t="shared" si="17"/>
        <v>-5663613.432320538</v>
      </c>
      <c r="J153" s="184">
        <f t="shared" si="17"/>
        <v>-10845416.676202144</v>
      </c>
      <c r="K153" s="184">
        <f t="shared" si="17"/>
        <v>-14665.909529748556</v>
      </c>
      <c r="L153" s="184">
        <f t="shared" si="17"/>
        <v>243845.89542171685</v>
      </c>
      <c r="M153" s="184">
        <f t="shared" si="17"/>
        <v>15905.530295774857</v>
      </c>
      <c r="N153" s="384">
        <f t="shared" si="18"/>
        <v>8629513.7742739692</v>
      </c>
    </row>
    <row r="154" spans="1:14" x14ac:dyDescent="0.2">
      <c r="A154" s="60">
        <f t="shared" si="19"/>
        <v>79</v>
      </c>
      <c r="C154" s="382" t="s">
        <v>499</v>
      </c>
      <c r="D154" s="184">
        <v>0</v>
      </c>
      <c r="E154" s="384">
        <f t="shared" si="17"/>
        <v>-17230.901290709735</v>
      </c>
      <c r="F154" s="184">
        <f t="shared" si="17"/>
        <v>-260160.81585596228</v>
      </c>
      <c r="G154" s="384">
        <f t="shared" si="17"/>
        <v>-15338358.36580015</v>
      </c>
      <c r="H154" s="184">
        <f t="shared" si="17"/>
        <v>-3543832.6816245047</v>
      </c>
      <c r="I154" s="184">
        <f t="shared" si="17"/>
        <v>2739020.2529150411</v>
      </c>
      <c r="J154" s="184">
        <f t="shared" si="17"/>
        <v>16046571.839261774</v>
      </c>
      <c r="K154" s="184">
        <f t="shared" si="17"/>
        <v>-15635.670876291413</v>
      </c>
      <c r="L154" s="184">
        <f t="shared" si="17"/>
        <v>272566.67972439702</v>
      </c>
      <c r="M154" s="184">
        <f t="shared" si="17"/>
        <v>3250.6625387452364</v>
      </c>
      <c r="N154" s="384">
        <f t="shared" si="18"/>
        <v>-113809.00100766137</v>
      </c>
    </row>
    <row r="155" spans="1:14" x14ac:dyDescent="0.2">
      <c r="A155" s="60">
        <f t="shared" si="19"/>
        <v>80</v>
      </c>
      <c r="C155" s="385" t="s">
        <v>500</v>
      </c>
      <c r="D155" s="260">
        <v>0</v>
      </c>
      <c r="E155" s="427">
        <f t="shared" si="17"/>
        <v>-8178.8097293815108</v>
      </c>
      <c r="F155" s="392">
        <f t="shared" si="17"/>
        <v>-3892023.1351869567</v>
      </c>
      <c r="G155" s="427">
        <f t="shared" si="17"/>
        <v>-67788595.470408663</v>
      </c>
      <c r="H155" s="392">
        <f t="shared" si="17"/>
        <v>-2689492.1282967031</v>
      </c>
      <c r="I155" s="392">
        <f t="shared" si="17"/>
        <v>5580705.9427042846</v>
      </c>
      <c r="J155" s="392">
        <f t="shared" si="17"/>
        <v>2018051.6805425447</v>
      </c>
      <c r="K155" s="392">
        <f t="shared" si="17"/>
        <v>-14755.553860859747</v>
      </c>
      <c r="L155" s="392">
        <f t="shared" si="17"/>
        <v>135189.02953140571</v>
      </c>
      <c r="M155" s="392">
        <f t="shared" si="17"/>
        <v>-31215.882762672427</v>
      </c>
      <c r="N155" s="427">
        <f t="shared" si="18"/>
        <v>-66690314.327466995</v>
      </c>
    </row>
    <row r="156" spans="1:14" x14ac:dyDescent="0.2">
      <c r="A156" s="60">
        <f t="shared" si="19"/>
        <v>81</v>
      </c>
      <c r="C156" s="393" t="s">
        <v>532</v>
      </c>
      <c r="D156" s="187">
        <f>SUM(D144:D155)</f>
        <v>0</v>
      </c>
      <c r="E156" s="384">
        <f t="shared" ref="E156:M156" si="20">SUM(E144:E155)</f>
        <v>-112171.25320823211</v>
      </c>
      <c r="F156" s="187">
        <f t="shared" si="20"/>
        <v>-2484313.153737538</v>
      </c>
      <c r="G156" s="384">
        <f t="shared" si="20"/>
        <v>-33815759.774370819</v>
      </c>
      <c r="H156" s="187">
        <f t="shared" si="20"/>
        <v>-34755185.445350915</v>
      </c>
      <c r="I156" s="187">
        <f t="shared" si="20"/>
        <v>-9010133.4141082242</v>
      </c>
      <c r="J156" s="187">
        <f t="shared" si="20"/>
        <v>-9621186.2079704236</v>
      </c>
      <c r="K156" s="187">
        <f t="shared" si="20"/>
        <v>-145738.22911630964</v>
      </c>
      <c r="L156" s="187">
        <f t="shared" si="20"/>
        <v>2769429.5194132286</v>
      </c>
      <c r="M156" s="187">
        <f t="shared" si="20"/>
        <v>499601.50552296656</v>
      </c>
      <c r="N156" s="384">
        <f>SUM(N144:N155)</f>
        <v>-86675456.452926278</v>
      </c>
    </row>
    <row r="158" spans="1:14" x14ac:dyDescent="0.2">
      <c r="B158" s="429" t="s">
        <v>342</v>
      </c>
    </row>
    <row r="159" spans="1:14" x14ac:dyDescent="0.2">
      <c r="B159" s="430" t="s">
        <v>584</v>
      </c>
      <c r="C159" s="57"/>
      <c r="D159" s="57"/>
      <c r="E159" s="57"/>
      <c r="F159" s="57"/>
      <c r="G159" s="57"/>
      <c r="H159" s="57"/>
      <c r="I159" s="57"/>
      <c r="J159" s="57"/>
    </row>
    <row r="160" spans="1:14" x14ac:dyDescent="0.2">
      <c r="B160" s="430" t="s">
        <v>585</v>
      </c>
      <c r="C160" s="57"/>
      <c r="D160" s="57"/>
      <c r="E160" s="57"/>
      <c r="F160" s="57"/>
      <c r="G160" s="57"/>
      <c r="H160" s="57"/>
      <c r="I160" s="57"/>
      <c r="J160" s="57"/>
    </row>
    <row r="161" spans="2:14" x14ac:dyDescent="0.2">
      <c r="B161" s="182" t="s">
        <v>586</v>
      </c>
      <c r="C161" s="100"/>
      <c r="D161" s="100"/>
      <c r="E161" s="100"/>
      <c r="F161" s="100"/>
      <c r="G161" s="100"/>
      <c r="H161" s="100"/>
      <c r="I161" s="100"/>
      <c r="J161" s="57"/>
      <c r="K161" s="57"/>
      <c r="L161" s="100"/>
      <c r="M161" s="100"/>
      <c r="N161" s="57"/>
    </row>
    <row r="162" spans="2:14" x14ac:dyDescent="0.2">
      <c r="B162" s="445" t="s">
        <v>587</v>
      </c>
      <c r="C162" s="100"/>
      <c r="D162" s="100"/>
      <c r="E162" s="100"/>
      <c r="F162" s="100"/>
      <c r="G162" s="100"/>
      <c r="H162" s="100"/>
      <c r="I162" s="100"/>
      <c r="J162" s="100"/>
      <c r="K162" s="100"/>
      <c r="L162" s="100"/>
      <c r="M162" s="100"/>
      <c r="N162" s="57"/>
    </row>
    <row r="163" spans="2:14" x14ac:dyDescent="0.2">
      <c r="B163" s="445" t="s">
        <v>588</v>
      </c>
      <c r="C163" s="100"/>
      <c r="D163" s="100"/>
      <c r="E163" s="100"/>
      <c r="F163" s="100"/>
      <c r="G163" s="100"/>
      <c r="H163" s="100"/>
      <c r="I163" s="100"/>
      <c r="J163" s="100"/>
      <c r="K163" s="100"/>
      <c r="L163" s="100"/>
      <c r="M163" s="100"/>
      <c r="N163" s="57"/>
    </row>
    <row r="164" spans="2:14" x14ac:dyDescent="0.2">
      <c r="B164" s="445" t="s">
        <v>589</v>
      </c>
      <c r="C164" s="100"/>
      <c r="D164" s="100"/>
      <c r="E164" s="100"/>
      <c r="F164" s="100"/>
      <c r="G164" s="100"/>
      <c r="H164" s="100"/>
      <c r="I164" s="100"/>
      <c r="J164" s="100"/>
      <c r="K164" s="100"/>
      <c r="L164" s="100"/>
      <c r="M164" s="100"/>
      <c r="N164" s="57"/>
    </row>
    <row r="165" spans="2:14" x14ac:dyDescent="0.2">
      <c r="B165" s="182" t="s">
        <v>590</v>
      </c>
      <c r="C165" s="100"/>
      <c r="D165" s="100"/>
      <c r="E165" s="100"/>
      <c r="F165" s="100"/>
      <c r="G165" s="100"/>
      <c r="H165" s="100"/>
      <c r="I165" s="100"/>
      <c r="J165" s="100"/>
      <c r="K165" s="100"/>
      <c r="L165" s="100"/>
      <c r="M165" s="100"/>
      <c r="N165" s="57"/>
    </row>
    <row r="166" spans="2:14" x14ac:dyDescent="0.2">
      <c r="B166" s="445" t="s">
        <v>591</v>
      </c>
      <c r="C166" s="100"/>
      <c r="D166" s="100"/>
      <c r="E166" s="100"/>
      <c r="F166" s="100"/>
      <c r="G166" s="100"/>
      <c r="H166" s="100"/>
      <c r="I166" s="100"/>
      <c r="J166" s="100"/>
      <c r="K166" s="100"/>
      <c r="L166" s="100"/>
      <c r="M166" s="100"/>
      <c r="N166" s="57"/>
    </row>
    <row r="167" spans="2:14" x14ac:dyDescent="0.2">
      <c r="B167" s="445" t="s">
        <v>592</v>
      </c>
      <c r="C167" s="100"/>
      <c r="D167" s="100"/>
      <c r="E167" s="100"/>
      <c r="F167" s="100"/>
      <c r="G167" s="100"/>
      <c r="H167" s="100"/>
      <c r="I167" s="100"/>
      <c r="J167" s="100"/>
      <c r="K167" s="100"/>
      <c r="L167" s="100"/>
      <c r="M167" s="100"/>
      <c r="N167" s="57"/>
    </row>
    <row r="168" spans="2:14" x14ac:dyDescent="0.2">
      <c r="B168" s="445" t="s">
        <v>593</v>
      </c>
      <c r="C168" s="100"/>
      <c r="D168" s="100"/>
      <c r="E168" s="100"/>
      <c r="F168" s="100"/>
      <c r="G168" s="100"/>
      <c r="H168" s="100"/>
      <c r="I168" s="100"/>
      <c r="J168" s="100"/>
      <c r="K168" s="100"/>
      <c r="L168" s="100"/>
      <c r="M168" s="100"/>
      <c r="N168" s="57"/>
    </row>
    <row r="169" spans="2:14" x14ac:dyDescent="0.2">
      <c r="B169" s="68" t="str">
        <f>"2) Amounts on Line "&amp;A33&amp;" derived from Plant Study for previous year Prior Year."</f>
        <v>2) Amounts on Line 15 derived from Plant Study for previous year Prior Year.</v>
      </c>
      <c r="C169" s="57"/>
      <c r="D169" s="57"/>
      <c r="E169" s="57"/>
      <c r="F169" s="57"/>
      <c r="G169" s="57"/>
      <c r="H169" s="57"/>
      <c r="I169" s="57"/>
      <c r="J169" s="57"/>
    </row>
    <row r="170" spans="2:14" x14ac:dyDescent="0.2">
      <c r="B170" s="70" t="str">
        <f>"Amounts on Line "&amp;A34&amp;" derived from Plant Study for Prior Year."</f>
        <v>Amounts on Line 16 derived from Plant Study for Prior Year.</v>
      </c>
      <c r="C170" s="57"/>
      <c r="D170" s="57"/>
      <c r="E170" s="57"/>
      <c r="F170" s="57"/>
      <c r="G170" s="57"/>
      <c r="H170" s="57"/>
      <c r="I170" s="57"/>
      <c r="J170" s="57"/>
    </row>
    <row r="171" spans="2:14" x14ac:dyDescent="0.2">
      <c r="B171" s="68" t="s">
        <v>594</v>
      </c>
      <c r="C171" s="57"/>
      <c r="D171" s="57"/>
      <c r="E171" s="57"/>
      <c r="F171" s="57"/>
      <c r="G171" s="57"/>
      <c r="H171" s="57"/>
      <c r="I171" s="57"/>
      <c r="J171" s="57"/>
    </row>
    <row r="172" spans="2:14" x14ac:dyDescent="0.2">
      <c r="B172" s="57" t="s">
        <v>767</v>
      </c>
      <c r="C172" s="57"/>
      <c r="D172" s="57"/>
      <c r="E172" s="57"/>
      <c r="F172" s="57"/>
      <c r="G172" s="57"/>
      <c r="H172" s="57"/>
      <c r="I172" s="57"/>
      <c r="J172" s="57"/>
    </row>
    <row r="173" spans="2:14" x14ac:dyDescent="0.2">
      <c r="B173" s="68" t="str">
        <f>"5) Amount in matrix on lines "&amp;A71&amp;" to "&amp;A82&amp;" minus amount in matrix on lines "&amp;A91&amp;" to "&amp;A102&amp;"."</f>
        <v>5) Amount in matrix on lines 27 to 38 minus amount in matrix on lines 40 to 51.</v>
      </c>
      <c r="C173" s="57"/>
      <c r="D173" s="57"/>
      <c r="E173" s="57"/>
      <c r="F173" s="57"/>
      <c r="G173" s="57"/>
      <c r="H173" s="57"/>
      <c r="I173" s="57"/>
      <c r="J173" s="57"/>
    </row>
    <row r="174" spans="2:14" x14ac:dyDescent="0.2">
      <c r="B174" s="68" t="str">
        <f>"6) Line "&amp;A24&amp;" - Line "&amp;A12&amp;"."</f>
        <v>6) Line 13 - Line 1.</v>
      </c>
      <c r="C174" s="57"/>
      <c r="D174" s="57"/>
      <c r="E174" s="57"/>
      <c r="F174" s="57"/>
      <c r="G174" s="57"/>
      <c r="H174" s="57"/>
      <c r="I174" s="57"/>
      <c r="J174" s="57"/>
    </row>
    <row r="175" spans="2:14" x14ac:dyDescent="0.2">
      <c r="B175" s="57" t="str">
        <f>"7) Line "&amp;A103&amp;"."</f>
        <v>7) Line 52.</v>
      </c>
      <c r="C175" s="57"/>
      <c r="D175" s="57"/>
      <c r="E175" s="57"/>
      <c r="F175" s="57"/>
      <c r="G175" s="57"/>
      <c r="H175" s="57"/>
      <c r="I175" s="57"/>
      <c r="J175" s="57"/>
    </row>
    <row r="176" spans="2:14" x14ac:dyDescent="0.2">
      <c r="B176" s="68" t="str">
        <f>"8) Line "&amp;A129&amp;" - Line "&amp;A133&amp;"."</f>
        <v>8) Line 66 - Line 67.</v>
      </c>
      <c r="C176" s="57"/>
      <c r="D176" s="57"/>
      <c r="E176" s="57"/>
      <c r="F176" s="57"/>
      <c r="G176" s="57"/>
      <c r="H176" s="57"/>
      <c r="I176" s="57"/>
      <c r="J176" s="57"/>
    </row>
    <row r="177" spans="2:10" x14ac:dyDescent="0.2">
      <c r="B177" s="68" t="str">
        <f>"9) For each column (FERC Account) divide Line "&amp;A136&amp;" by Line "&amp;A123&amp;" to arrive at a ratio for each column."</f>
        <v>9) For each column (FERC Account) divide Line 68 by Line 65 to arrive at a ratio for each column.</v>
      </c>
      <c r="C177" s="57"/>
      <c r="D177" s="57"/>
      <c r="E177" s="57"/>
      <c r="F177" s="57"/>
      <c r="G177" s="57"/>
      <c r="H177" s="57"/>
      <c r="I177" s="57"/>
      <c r="J177" s="57"/>
    </row>
    <row r="178" spans="2:10" x14ac:dyDescent="0.2">
      <c r="B178" s="68" t="str">
        <f>"Apply the ratio of each column to each monthly value from Lines "&amp;A111&amp;"-"&amp;A122&amp;" to calculate the values for"</f>
        <v>Apply the ratio of each column to each monthly value from Lines 53-64 to calculate the values for</v>
      </c>
      <c r="C178" s="57"/>
      <c r="D178" s="57"/>
      <c r="E178" s="57"/>
      <c r="F178" s="57"/>
      <c r="G178" s="57"/>
      <c r="H178" s="57"/>
      <c r="I178" s="57"/>
      <c r="J178" s="57"/>
    </row>
    <row r="179" spans="2:10" x14ac:dyDescent="0.2">
      <c r="B179" s="68" t="str">
        <f>"the corresponsing months listed in Lines "&amp;A144&amp;"-"&amp;A155&amp;"."</f>
        <v>the corresponsing months listed in Lines 69-80.</v>
      </c>
      <c r="C179" s="57"/>
      <c r="D179" s="57"/>
      <c r="E179" s="57"/>
      <c r="F179" s="57"/>
      <c r="G179" s="57"/>
      <c r="H179" s="57"/>
      <c r="I179" s="57"/>
      <c r="J179" s="57"/>
    </row>
  </sheetData>
  <pageMargins left="0.75" right="0.75" top="1" bottom="1" header="0.5" footer="0.5"/>
  <pageSetup scale="65" orientation="landscape" cellComments="asDisplayed" r:id="rId1"/>
  <headerFooter alignWithMargins="0">
    <oddHeader>&amp;CSchedule 8
Accumulated Depreciation
(Revised 2013 True Up TRR)&amp;RTO10 Draft Annual Update
Attachment 4
WP-Schedule 3-One Time Adj &amp; True Up Adj
Page &amp;P of &amp;N</oddHeader>
    <oddFooter>&amp;R&amp;A</oddFooter>
  </headerFooter>
  <rowBreaks count="3" manualBreakCount="3">
    <brk id="36" max="16383" man="1"/>
    <brk id="84" max="16383" man="1"/>
    <brk id="12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L208"/>
  <sheetViews>
    <sheetView zoomScaleNormal="100" zoomScaleSheetLayoutView="80" workbookViewId="0"/>
  </sheetViews>
  <sheetFormatPr defaultRowHeight="12.75" x14ac:dyDescent="0.2"/>
  <cols>
    <col min="1" max="1" width="4.7109375" customWidth="1"/>
    <col min="2" max="2" width="9.7109375" style="148" customWidth="1"/>
    <col min="3" max="3" width="44.7109375" style="148" customWidth="1"/>
    <col min="4" max="8" width="15.7109375" style="148" customWidth="1"/>
    <col min="9" max="9" width="16.140625" style="148" bestFit="1" customWidth="1"/>
    <col min="10" max="10" width="33.7109375" style="148" customWidth="1"/>
    <col min="11" max="11" width="9.140625" style="57"/>
  </cols>
  <sheetData>
    <row r="1" spans="1:12" x14ac:dyDescent="0.2">
      <c r="A1" s="141" t="s">
        <v>163</v>
      </c>
      <c r="B1" s="142"/>
      <c r="C1" s="142"/>
      <c r="D1" s="142"/>
      <c r="E1" s="142"/>
      <c r="F1" s="143" t="s">
        <v>164</v>
      </c>
      <c r="G1" s="143"/>
      <c r="H1" s="142"/>
      <c r="I1" s="144"/>
      <c r="J1" s="144"/>
      <c r="K1" s="78"/>
      <c r="L1" s="78"/>
    </row>
    <row r="2" spans="1:12" x14ac:dyDescent="0.2">
      <c r="A2" s="144"/>
      <c r="B2" s="145"/>
      <c r="C2" s="146"/>
      <c r="D2" s="146"/>
      <c r="E2" s="144"/>
      <c r="F2" s="144"/>
      <c r="G2" s="144"/>
      <c r="H2" s="144"/>
      <c r="I2" s="144"/>
      <c r="J2" s="144"/>
      <c r="K2" s="78"/>
      <c r="L2" s="78"/>
    </row>
    <row r="3" spans="1:12" x14ac:dyDescent="0.2">
      <c r="A3" s="144"/>
      <c r="B3" s="145" t="s">
        <v>165</v>
      </c>
      <c r="C3" s="146"/>
      <c r="D3" s="146"/>
      <c r="E3" s="144"/>
      <c r="F3" s="144"/>
      <c r="G3" s="144"/>
      <c r="H3" s="144"/>
      <c r="I3" s="144"/>
      <c r="J3" s="144"/>
      <c r="K3" s="78"/>
      <c r="L3" s="78"/>
    </row>
    <row r="4" spans="1:12" x14ac:dyDescent="0.2">
      <c r="A4" s="144"/>
      <c r="B4" s="145"/>
      <c r="C4" s="146"/>
      <c r="D4" s="146"/>
      <c r="E4" s="144"/>
      <c r="F4" s="144"/>
      <c r="G4" s="144"/>
      <c r="H4" s="144"/>
      <c r="I4" s="144"/>
      <c r="J4" s="144"/>
      <c r="K4" s="78"/>
      <c r="L4" s="78"/>
    </row>
    <row r="5" spans="1:12" x14ac:dyDescent="0.2">
      <c r="A5" s="144"/>
      <c r="B5" s="147" t="s">
        <v>166</v>
      </c>
      <c r="C5" s="146"/>
      <c r="D5" s="146"/>
      <c r="E5" s="144"/>
      <c r="F5" s="144"/>
      <c r="G5" s="144"/>
      <c r="H5" s="144"/>
      <c r="I5" s="144"/>
      <c r="J5" s="144"/>
      <c r="K5" s="78"/>
      <c r="L5" s="78"/>
    </row>
    <row r="6" spans="1:12" x14ac:dyDescent="0.2">
      <c r="A6" s="144"/>
      <c r="B6" s="145"/>
      <c r="C6" s="129" t="s">
        <v>167</v>
      </c>
      <c r="D6" s="129" t="s">
        <v>168</v>
      </c>
      <c r="E6" s="144"/>
      <c r="I6" s="144"/>
      <c r="J6" s="144"/>
      <c r="K6" s="78"/>
      <c r="L6" s="78"/>
    </row>
    <row r="7" spans="1:12" x14ac:dyDescent="0.2">
      <c r="A7" s="144"/>
      <c r="C7" s="146"/>
      <c r="D7" s="144"/>
      <c r="E7" s="144"/>
      <c r="I7" s="144"/>
      <c r="J7" s="144"/>
      <c r="K7" s="78"/>
      <c r="L7" s="78"/>
    </row>
    <row r="8" spans="1:12" x14ac:dyDescent="0.2">
      <c r="A8" s="144"/>
      <c r="B8" s="145"/>
      <c r="C8" s="142"/>
      <c r="D8" s="65" t="s">
        <v>169</v>
      </c>
      <c r="J8" s="144"/>
      <c r="K8" s="78"/>
      <c r="L8" s="78"/>
    </row>
    <row r="9" spans="1:12" x14ac:dyDescent="0.2">
      <c r="A9" s="61" t="s">
        <v>170</v>
      </c>
      <c r="B9" s="145"/>
      <c r="C9" s="149" t="s">
        <v>171</v>
      </c>
      <c r="D9" s="101" t="s">
        <v>172</v>
      </c>
      <c r="E9" s="150" t="s">
        <v>8</v>
      </c>
      <c r="J9" s="144"/>
      <c r="K9" s="78"/>
      <c r="L9" s="78"/>
    </row>
    <row r="10" spans="1:12" ht="15" x14ac:dyDescent="0.25">
      <c r="A10" s="151">
        <v>1</v>
      </c>
      <c r="B10" s="145"/>
      <c r="C10" s="68" t="s">
        <v>173</v>
      </c>
      <c r="D10" s="152">
        <f>+D78</f>
        <v>8272849.4214420887</v>
      </c>
      <c r="E10" s="70" t="str">
        <f>"Line "&amp;A78&amp;", Col. 2"</f>
        <v>Line 353, Col. 2</v>
      </c>
      <c r="J10" s="144"/>
      <c r="K10" s="78"/>
      <c r="L10" s="78"/>
    </row>
    <row r="11" spans="1:12" x14ac:dyDescent="0.2">
      <c r="A11" s="60">
        <f>A10+1</f>
        <v>2</v>
      </c>
      <c r="B11" s="145"/>
      <c r="C11" s="68" t="s">
        <v>174</v>
      </c>
      <c r="D11" s="152">
        <f>+D106</f>
        <v>-1016094403</v>
      </c>
      <c r="E11" s="70" t="str">
        <f>"Line "&amp;A106&amp;", Col. 2"</f>
        <v>Line 452, Col. 2</v>
      </c>
      <c r="J11" s="144"/>
      <c r="K11" s="78"/>
      <c r="L11" s="78"/>
    </row>
    <row r="12" spans="1:12" x14ac:dyDescent="0.2">
      <c r="A12" s="60">
        <f t="shared" ref="A12:A24" si="0">A11+1</f>
        <v>3</v>
      </c>
      <c r="B12" s="145"/>
      <c r="C12" s="68" t="s">
        <v>175</v>
      </c>
      <c r="D12" s="152">
        <f>+D156</f>
        <v>-25122033.081796214</v>
      </c>
      <c r="E12" s="70" t="str">
        <f>"Line "&amp;A156&amp;", Col. 2"</f>
        <v>Line 803, Col. 2</v>
      </c>
      <c r="I12" s="153"/>
      <c r="J12" s="144"/>
      <c r="K12" s="78"/>
      <c r="L12" s="78"/>
    </row>
    <row r="13" spans="1:12" x14ac:dyDescent="0.2">
      <c r="A13" s="60">
        <f t="shared" si="0"/>
        <v>4</v>
      </c>
      <c r="B13" s="145"/>
      <c r="C13" s="124" t="s">
        <v>176</v>
      </c>
      <c r="D13" s="152">
        <f>G171</f>
        <v>54914306.76412572</v>
      </c>
      <c r="E13" s="70" t="str">
        <f>"Line "&amp;A171&amp;", Col. 5"</f>
        <v>Line 809, Col. 5</v>
      </c>
      <c r="I13" s="153"/>
      <c r="J13" s="144"/>
      <c r="K13" s="78"/>
      <c r="L13" s="78"/>
    </row>
    <row r="14" spans="1:12" x14ac:dyDescent="0.2">
      <c r="A14" s="60">
        <f t="shared" si="0"/>
        <v>5</v>
      </c>
      <c r="B14" s="145"/>
      <c r="C14" s="68" t="s">
        <v>177</v>
      </c>
      <c r="D14" s="446">
        <f t="shared" ref="D14" si="1">SUM(D10:D13)</f>
        <v>-978029279.89622843</v>
      </c>
      <c r="E14" s="155" t="str">
        <f>"Sum of Lines "&amp;A10&amp;" to "&amp;A13&amp;""</f>
        <v>Sum of Lines 1 to 4</v>
      </c>
      <c r="J14" s="144"/>
      <c r="K14" s="78"/>
      <c r="L14" s="78"/>
    </row>
    <row r="15" spans="1:12" x14ac:dyDescent="0.2">
      <c r="A15" s="60">
        <f t="shared" si="0"/>
        <v>6</v>
      </c>
      <c r="B15" s="145"/>
      <c r="D15" s="142"/>
      <c r="E15" s="142"/>
      <c r="G15" s="156"/>
      <c r="H15" s="157"/>
      <c r="I15" s="142"/>
      <c r="J15" s="144"/>
      <c r="K15" s="78"/>
      <c r="L15" s="78"/>
    </row>
    <row r="16" spans="1:12" x14ac:dyDescent="0.2">
      <c r="A16" s="60">
        <f t="shared" si="0"/>
        <v>7</v>
      </c>
      <c r="B16" s="147" t="s">
        <v>178</v>
      </c>
      <c r="E16" s="142"/>
      <c r="G16" s="153"/>
      <c r="H16" s="158"/>
      <c r="I16" s="153"/>
      <c r="J16" s="144"/>
      <c r="K16" s="78"/>
      <c r="L16" s="78"/>
    </row>
    <row r="17" spans="1:12" x14ac:dyDescent="0.2">
      <c r="A17" s="60">
        <f t="shared" si="0"/>
        <v>8</v>
      </c>
      <c r="B17" s="147"/>
      <c r="D17" s="65" t="s">
        <v>179</v>
      </c>
      <c r="E17" s="142"/>
      <c r="G17" s="153"/>
      <c r="H17" s="158"/>
      <c r="I17" s="153"/>
      <c r="J17" s="144"/>
      <c r="K17" s="78"/>
      <c r="L17" s="78"/>
    </row>
    <row r="18" spans="1:12" x14ac:dyDescent="0.2">
      <c r="A18" s="60">
        <f t="shared" si="0"/>
        <v>9</v>
      </c>
      <c r="B18" s="145"/>
      <c r="D18" s="101" t="s">
        <v>172</v>
      </c>
      <c r="E18" s="150" t="s">
        <v>8</v>
      </c>
      <c r="G18" s="159"/>
      <c r="H18" s="153"/>
      <c r="I18" s="153"/>
      <c r="J18" s="144"/>
      <c r="K18" s="78"/>
      <c r="L18" s="78"/>
    </row>
    <row r="19" spans="1:12" x14ac:dyDescent="0.2">
      <c r="A19" s="60">
        <f t="shared" si="0"/>
        <v>10</v>
      </c>
      <c r="B19" s="145"/>
      <c r="C19" s="68" t="s">
        <v>177</v>
      </c>
      <c r="D19" s="160">
        <f>-662365084.53</f>
        <v>-662365084.52999997</v>
      </c>
      <c r="E19" s="161" t="str">
        <f>"Previous Year Informational Filing, Line "&amp;A14&amp;", Col. 2"</f>
        <v>Previous Year Informational Filing, Line 5, Col. 2</v>
      </c>
      <c r="G19" s="153"/>
      <c r="H19" s="153"/>
      <c r="I19" s="153"/>
      <c r="K19" s="78"/>
      <c r="L19" s="78"/>
    </row>
    <row r="20" spans="1:12" x14ac:dyDescent="0.2">
      <c r="A20" s="60">
        <f t="shared" si="0"/>
        <v>11</v>
      </c>
      <c r="B20" s="145"/>
      <c r="D20" s="142"/>
      <c r="E20" s="142"/>
      <c r="F20" s="153"/>
      <c r="G20" s="153"/>
      <c r="H20" s="153"/>
      <c r="I20" s="153"/>
      <c r="J20" s="144"/>
      <c r="K20" s="78"/>
      <c r="L20" s="78"/>
    </row>
    <row r="21" spans="1:12" x14ac:dyDescent="0.2">
      <c r="A21" s="60">
        <f t="shared" si="0"/>
        <v>12</v>
      </c>
      <c r="B21" s="147" t="s">
        <v>180</v>
      </c>
      <c r="D21" s="142"/>
      <c r="E21" s="142"/>
      <c r="F21" s="153"/>
      <c r="G21" s="153"/>
      <c r="H21" s="153"/>
      <c r="I21" s="153"/>
      <c r="J21" s="144"/>
      <c r="K21" s="78"/>
      <c r="L21" s="78"/>
    </row>
    <row r="22" spans="1:12" x14ac:dyDescent="0.2">
      <c r="A22" s="60">
        <f t="shared" si="0"/>
        <v>13</v>
      </c>
      <c r="B22" s="146"/>
      <c r="C22" s="162"/>
      <c r="D22" s="163" t="s">
        <v>181</v>
      </c>
      <c r="E22" s="144"/>
      <c r="F22" s="144"/>
      <c r="G22" s="144"/>
      <c r="H22" s="144"/>
      <c r="I22" s="144"/>
      <c r="J22" s="144"/>
      <c r="K22" s="78"/>
      <c r="L22" s="78"/>
    </row>
    <row r="23" spans="1:12" x14ac:dyDescent="0.2">
      <c r="A23" s="60">
        <f t="shared" si="0"/>
        <v>14</v>
      </c>
      <c r="B23" s="146"/>
      <c r="D23" s="101" t="s">
        <v>172</v>
      </c>
      <c r="E23" s="150" t="s">
        <v>8</v>
      </c>
      <c r="F23" s="144"/>
      <c r="G23" s="159"/>
      <c r="H23" s="144"/>
      <c r="I23" s="144"/>
      <c r="J23" s="144"/>
      <c r="K23" s="78"/>
      <c r="L23" s="78"/>
    </row>
    <row r="24" spans="1:12" x14ac:dyDescent="0.2">
      <c r="A24" s="60">
        <f t="shared" si="0"/>
        <v>15</v>
      </c>
      <c r="B24" s="146"/>
      <c r="C24" s="164" t="s">
        <v>182</v>
      </c>
      <c r="D24" s="165">
        <f>(D14+D19)/2</f>
        <v>-820197182.21311426</v>
      </c>
      <c r="E24" s="157" t="str">
        <f>"Average of Line "&amp;A14&amp;" and Line "&amp;A19&amp;""</f>
        <v>Average of Line 5 and Line 10</v>
      </c>
      <c r="F24" s="144"/>
      <c r="G24" s="153"/>
      <c r="H24" s="144"/>
      <c r="I24" s="144"/>
      <c r="J24" s="144"/>
      <c r="K24" s="78"/>
      <c r="L24" s="78"/>
    </row>
    <row r="25" spans="1:12" x14ac:dyDescent="0.2">
      <c r="A25" s="60"/>
      <c r="B25" s="146"/>
      <c r="C25" s="162"/>
      <c r="D25" s="166"/>
      <c r="E25" s="144"/>
      <c r="F25" s="144"/>
      <c r="G25" s="144"/>
      <c r="H25" s="144"/>
      <c r="I25" s="144"/>
      <c r="J25" s="144"/>
      <c r="K25" s="78"/>
      <c r="L25" s="78"/>
    </row>
    <row r="26" spans="1:12" x14ac:dyDescent="0.2">
      <c r="A26" s="60"/>
      <c r="B26" s="145" t="s">
        <v>183</v>
      </c>
      <c r="C26" s="162"/>
      <c r="D26" s="166"/>
      <c r="E26" s="144"/>
      <c r="F26" s="144"/>
      <c r="G26" s="144"/>
      <c r="H26" s="144"/>
      <c r="I26" s="144"/>
      <c r="J26" s="144"/>
    </row>
    <row r="27" spans="1:12" x14ac:dyDescent="0.2">
      <c r="A27" s="60"/>
      <c r="B27" s="145"/>
      <c r="C27" s="129" t="s">
        <v>167</v>
      </c>
      <c r="D27" s="129" t="s">
        <v>168</v>
      </c>
      <c r="E27" s="129" t="s">
        <v>184</v>
      </c>
      <c r="F27" s="129" t="s">
        <v>185</v>
      </c>
      <c r="G27" s="129" t="s">
        <v>186</v>
      </c>
      <c r="H27" s="129" t="s">
        <v>187</v>
      </c>
      <c r="I27" s="129" t="s">
        <v>188</v>
      </c>
      <c r="J27" s="144"/>
    </row>
    <row r="28" spans="1:12" x14ac:dyDescent="0.2">
      <c r="A28" s="124"/>
      <c r="B28" s="163"/>
      <c r="C28" s="163"/>
      <c r="D28" s="163" t="s">
        <v>189</v>
      </c>
      <c r="E28" s="163" t="s">
        <v>190</v>
      </c>
      <c r="F28" s="163"/>
      <c r="G28" s="163"/>
      <c r="H28" s="163" t="s">
        <v>191</v>
      </c>
      <c r="I28" s="167" t="s">
        <v>192</v>
      </c>
      <c r="J28" s="144"/>
    </row>
    <row r="29" spans="1:12" x14ac:dyDescent="0.2">
      <c r="A29" s="124"/>
      <c r="B29" s="168" t="s">
        <v>193</v>
      </c>
      <c r="C29" s="168" t="s">
        <v>194</v>
      </c>
      <c r="D29" s="168" t="s">
        <v>195</v>
      </c>
      <c r="E29" s="168" t="s">
        <v>196</v>
      </c>
      <c r="F29" s="168" t="s">
        <v>197</v>
      </c>
      <c r="G29" s="168" t="s">
        <v>198</v>
      </c>
      <c r="H29" s="168" t="s">
        <v>199</v>
      </c>
      <c r="I29" s="168" t="s">
        <v>6</v>
      </c>
      <c r="J29" s="144"/>
    </row>
    <row r="30" spans="1:12" x14ac:dyDescent="0.2">
      <c r="A30" s="60"/>
      <c r="B30" s="146" t="s">
        <v>200</v>
      </c>
      <c r="C30" s="146"/>
      <c r="D30" s="146"/>
      <c r="E30" s="144"/>
      <c r="F30" s="144"/>
      <c r="G30" s="144"/>
      <c r="H30" s="144"/>
      <c r="I30" s="144"/>
      <c r="J30" s="144"/>
    </row>
    <row r="31" spans="1:12" x14ac:dyDescent="0.2">
      <c r="A31" s="169">
        <f>100</f>
        <v>100</v>
      </c>
      <c r="B31" s="170">
        <v>190</v>
      </c>
      <c r="C31" s="171" t="s">
        <v>201</v>
      </c>
      <c r="D31" s="172">
        <v>889370</v>
      </c>
      <c r="E31" s="173">
        <f>$G200*D31</f>
        <v>768.86587918928024</v>
      </c>
      <c r="F31" s="174"/>
      <c r="G31" s="173">
        <f>D31-E31</f>
        <v>888601.13412081078</v>
      </c>
      <c r="H31" s="173"/>
      <c r="I31" s="175" t="s">
        <v>202</v>
      </c>
      <c r="J31" s="143"/>
    </row>
    <row r="32" spans="1:12" x14ac:dyDescent="0.2">
      <c r="A32" s="169">
        <f t="shared" ref="A32:A54" si="2">A31+1</f>
        <v>101</v>
      </c>
      <c r="B32" s="170">
        <v>190</v>
      </c>
      <c r="C32" s="171" t="s">
        <v>203</v>
      </c>
      <c r="D32" s="172">
        <v>0</v>
      </c>
      <c r="E32" s="173">
        <f>$G200*D32</f>
        <v>0</v>
      </c>
      <c r="F32" s="174"/>
      <c r="G32" s="173">
        <f>D32-E32</f>
        <v>0</v>
      </c>
      <c r="H32" s="173"/>
      <c r="I32" s="175" t="s">
        <v>202</v>
      </c>
      <c r="J32" s="143"/>
    </row>
    <row r="33" spans="1:10" x14ac:dyDescent="0.2">
      <c r="A33" s="169">
        <f t="shared" si="2"/>
        <v>102</v>
      </c>
      <c r="B33" s="170">
        <v>190</v>
      </c>
      <c r="C33" s="171" t="s">
        <v>204</v>
      </c>
      <c r="D33" s="172">
        <v>995581</v>
      </c>
      <c r="E33" s="173">
        <f>(0.5*($G$192*D33))+(0.5*D33)</f>
        <v>498658.13092492538</v>
      </c>
      <c r="F33" s="174"/>
      <c r="G33" s="173"/>
      <c r="H33" s="173">
        <f>D33-E33</f>
        <v>496922.86907507462</v>
      </c>
      <c r="I33" s="175" t="s">
        <v>205</v>
      </c>
      <c r="J33" s="143"/>
    </row>
    <row r="34" spans="1:10" x14ac:dyDescent="0.2">
      <c r="A34" s="169">
        <f t="shared" si="2"/>
        <v>103</v>
      </c>
      <c r="B34" s="170">
        <v>190</v>
      </c>
      <c r="C34" s="171" t="s">
        <v>206</v>
      </c>
      <c r="D34" s="172">
        <v>0</v>
      </c>
      <c r="E34" s="173"/>
      <c r="F34" s="173">
        <v>0</v>
      </c>
      <c r="G34" s="173"/>
      <c r="H34" s="173"/>
      <c r="I34" s="175" t="s">
        <v>207</v>
      </c>
      <c r="J34" s="143"/>
    </row>
    <row r="35" spans="1:10" x14ac:dyDescent="0.2">
      <c r="A35" s="169">
        <f t="shared" si="2"/>
        <v>104</v>
      </c>
      <c r="B35" s="170">
        <v>190</v>
      </c>
      <c r="C35" s="171" t="s">
        <v>208</v>
      </c>
      <c r="D35" s="172">
        <v>0</v>
      </c>
      <c r="E35" s="173"/>
      <c r="F35" s="174"/>
      <c r="G35" s="173">
        <v>0</v>
      </c>
      <c r="H35" s="173"/>
      <c r="I35" s="175" t="s">
        <v>202</v>
      </c>
      <c r="J35" s="143"/>
    </row>
    <row r="36" spans="1:10" ht="12.75" customHeight="1" x14ac:dyDescent="0.2">
      <c r="A36" s="169">
        <f t="shared" si="2"/>
        <v>105</v>
      </c>
      <c r="B36" s="170">
        <v>190</v>
      </c>
      <c r="C36" s="171" t="s">
        <v>209</v>
      </c>
      <c r="D36" s="172">
        <v>989049</v>
      </c>
      <c r="E36" s="173">
        <f>$G$200*D36</f>
        <v>855.0389927097591</v>
      </c>
      <c r="F36" s="174"/>
      <c r="G36" s="173">
        <f>D36-E36</f>
        <v>988193.96100729029</v>
      </c>
      <c r="H36" s="173"/>
      <c r="I36" s="175" t="s">
        <v>202</v>
      </c>
      <c r="J36" s="143"/>
    </row>
    <row r="37" spans="1:10" x14ac:dyDescent="0.2">
      <c r="A37" s="169">
        <f t="shared" si="2"/>
        <v>106</v>
      </c>
      <c r="B37" s="170">
        <v>190</v>
      </c>
      <c r="C37" s="171" t="s">
        <v>210</v>
      </c>
      <c r="D37" s="172">
        <v>1295151</v>
      </c>
      <c r="E37" s="173">
        <f>(0.5*$G$192*D37)+(0.5*D37)</f>
        <v>648704.2007888339</v>
      </c>
      <c r="F37" s="174"/>
      <c r="G37" s="173"/>
      <c r="H37" s="173">
        <f>D37-E37</f>
        <v>646446.7992111661</v>
      </c>
      <c r="I37" s="175" t="s">
        <v>205</v>
      </c>
      <c r="J37" s="143"/>
    </row>
    <row r="38" spans="1:10" x14ac:dyDescent="0.2">
      <c r="A38" s="169">
        <f t="shared" si="2"/>
        <v>107</v>
      </c>
      <c r="B38" s="170">
        <v>190</v>
      </c>
      <c r="C38" s="171" t="s">
        <v>211</v>
      </c>
      <c r="D38" s="172">
        <v>68472027</v>
      </c>
      <c r="E38" s="173">
        <f>$G$192*D38</f>
        <v>119344.27860219189</v>
      </c>
      <c r="F38" s="174"/>
      <c r="G38" s="173"/>
      <c r="H38" s="173">
        <f>D38-E38</f>
        <v>68352682.721397802</v>
      </c>
      <c r="I38" s="175" t="s">
        <v>205</v>
      </c>
      <c r="J38" s="143"/>
    </row>
    <row r="39" spans="1:10" x14ac:dyDescent="0.2">
      <c r="A39" s="169">
        <f t="shared" si="2"/>
        <v>108</v>
      </c>
      <c r="B39" s="170">
        <v>190</v>
      </c>
      <c r="C39" s="171" t="s">
        <v>212</v>
      </c>
      <c r="D39" s="172">
        <v>22529063</v>
      </c>
      <c r="E39" s="173">
        <f>$G$192*D39</f>
        <v>39267.345938485698</v>
      </c>
      <c r="F39" s="174"/>
      <c r="G39" s="173"/>
      <c r="H39" s="173">
        <f>D39-E39</f>
        <v>22489795.654061515</v>
      </c>
      <c r="I39" s="175" t="s">
        <v>205</v>
      </c>
      <c r="J39" s="143"/>
    </row>
    <row r="40" spans="1:10" x14ac:dyDescent="0.2">
      <c r="A40" s="169">
        <f t="shared" si="2"/>
        <v>109</v>
      </c>
      <c r="B40" s="170">
        <v>190</v>
      </c>
      <c r="C40" s="171" t="s">
        <v>213</v>
      </c>
      <c r="D40" s="172">
        <v>0</v>
      </c>
      <c r="E40" s="173">
        <v>0</v>
      </c>
      <c r="F40" s="174"/>
      <c r="G40" s="173"/>
      <c r="H40" s="173">
        <v>0</v>
      </c>
      <c r="I40" s="175" t="s">
        <v>205</v>
      </c>
      <c r="J40" s="143"/>
    </row>
    <row r="41" spans="1:10" x14ac:dyDescent="0.2">
      <c r="A41" s="169">
        <f t="shared" si="2"/>
        <v>110</v>
      </c>
      <c r="B41" s="170">
        <v>190</v>
      </c>
      <c r="C41" s="171" t="s">
        <v>214</v>
      </c>
      <c r="D41" s="172">
        <v>0</v>
      </c>
      <c r="E41" s="173">
        <v>0</v>
      </c>
      <c r="F41" s="160">
        <v>0</v>
      </c>
      <c r="G41" s="173">
        <v>0</v>
      </c>
      <c r="H41" s="173"/>
      <c r="I41" s="175" t="s">
        <v>215</v>
      </c>
      <c r="J41" s="176"/>
    </row>
    <row r="42" spans="1:10" x14ac:dyDescent="0.2">
      <c r="A42" s="169">
        <f t="shared" si="2"/>
        <v>111</v>
      </c>
      <c r="B42" s="170">
        <v>190</v>
      </c>
      <c r="C42" s="171" t="s">
        <v>216</v>
      </c>
      <c r="D42" s="172">
        <v>49972</v>
      </c>
      <c r="E42" s="173">
        <f>$G$200*D42</f>
        <v>43.201103831753613</v>
      </c>
      <c r="F42" s="174"/>
      <c r="G42" s="173">
        <f>D42-E42</f>
        <v>49928.798896168249</v>
      </c>
      <c r="H42" s="173"/>
      <c r="I42" s="175" t="s">
        <v>202</v>
      </c>
      <c r="J42" s="143"/>
    </row>
    <row r="43" spans="1:10" x14ac:dyDescent="0.2">
      <c r="A43" s="169">
        <f t="shared" si="2"/>
        <v>112</v>
      </c>
      <c r="B43" s="170">
        <v>190</v>
      </c>
      <c r="C43" s="171" t="s">
        <v>217</v>
      </c>
      <c r="D43" s="172">
        <v>0</v>
      </c>
      <c r="E43" s="173">
        <v>0</v>
      </c>
      <c r="F43" s="174"/>
      <c r="G43" s="173">
        <v>0</v>
      </c>
      <c r="H43" s="173"/>
      <c r="I43" s="175" t="s">
        <v>202</v>
      </c>
      <c r="J43" s="143"/>
    </row>
    <row r="44" spans="1:10" x14ac:dyDescent="0.2">
      <c r="A44" s="169">
        <f t="shared" si="2"/>
        <v>113</v>
      </c>
      <c r="B44" s="170">
        <v>190</v>
      </c>
      <c r="C44" s="171" t="s">
        <v>218</v>
      </c>
      <c r="D44" s="172">
        <v>53050971</v>
      </c>
      <c r="E44" s="173">
        <f>G$192*D44</f>
        <v>92465.933031905166</v>
      </c>
      <c r="F44" s="174"/>
      <c r="G44" s="173"/>
      <c r="H44" s="173">
        <f>D44-E44</f>
        <v>52958505.066968098</v>
      </c>
      <c r="I44" s="175" t="s">
        <v>205</v>
      </c>
      <c r="J44" s="143"/>
    </row>
    <row r="45" spans="1:10" x14ac:dyDescent="0.2">
      <c r="A45" s="169">
        <f t="shared" si="2"/>
        <v>114</v>
      </c>
      <c r="B45" s="170">
        <v>190</v>
      </c>
      <c r="C45" s="171" t="s">
        <v>219</v>
      </c>
      <c r="D45" s="172">
        <v>0</v>
      </c>
      <c r="E45" s="173">
        <v>0</v>
      </c>
      <c r="F45" s="174"/>
      <c r="G45" s="173">
        <v>0</v>
      </c>
      <c r="H45" s="174"/>
      <c r="I45" s="175" t="s">
        <v>215</v>
      </c>
      <c r="J45" s="143"/>
    </row>
    <row r="46" spans="1:10" x14ac:dyDescent="0.2">
      <c r="A46" s="169">
        <f t="shared" si="2"/>
        <v>115</v>
      </c>
      <c r="B46" s="170">
        <v>190</v>
      </c>
      <c r="C46" s="171" t="s">
        <v>220</v>
      </c>
      <c r="D46" s="172">
        <v>950375</v>
      </c>
      <c r="E46" s="173">
        <f>$G200*D46</f>
        <v>821.60507992681585</v>
      </c>
      <c r="F46" s="174"/>
      <c r="G46" s="173">
        <f>D46-E46</f>
        <v>949553.39492007322</v>
      </c>
      <c r="H46" s="174"/>
      <c r="I46" s="175" t="s">
        <v>215</v>
      </c>
      <c r="J46" s="143"/>
    </row>
    <row r="47" spans="1:10" x14ac:dyDescent="0.2">
      <c r="A47" s="169">
        <f t="shared" si="2"/>
        <v>116</v>
      </c>
      <c r="B47" s="170">
        <v>190</v>
      </c>
      <c r="C47" s="171" t="s">
        <v>221</v>
      </c>
      <c r="D47" s="172">
        <v>749294476</v>
      </c>
      <c r="E47" s="173">
        <v>749294476</v>
      </c>
      <c r="F47" s="174"/>
      <c r="G47" s="174"/>
      <c r="H47" s="174"/>
      <c r="I47" s="175" t="s">
        <v>222</v>
      </c>
      <c r="J47" s="143"/>
    </row>
    <row r="48" spans="1:10" x14ac:dyDescent="0.2">
      <c r="A48" s="169">
        <f t="shared" si="2"/>
        <v>117</v>
      </c>
      <c r="B48" s="170">
        <v>190</v>
      </c>
      <c r="C48" s="171" t="s">
        <v>223</v>
      </c>
      <c r="D48" s="172">
        <v>123837950</v>
      </c>
      <c r="E48" s="173">
        <v>123837950</v>
      </c>
      <c r="F48" s="174"/>
      <c r="G48" s="174"/>
      <c r="H48" s="174"/>
      <c r="I48" s="175" t="s">
        <v>224</v>
      </c>
      <c r="J48" s="143"/>
    </row>
    <row r="49" spans="1:12" ht="13.5" thickBot="1" x14ac:dyDescent="0.25">
      <c r="A49" s="169">
        <f t="shared" si="2"/>
        <v>118</v>
      </c>
      <c r="B49" s="170">
        <v>190</v>
      </c>
      <c r="C49" s="171" t="s">
        <v>225</v>
      </c>
      <c r="D49" s="172">
        <v>327834495</v>
      </c>
      <c r="E49" s="177">
        <v>327834495</v>
      </c>
      <c r="F49" s="174"/>
      <c r="G49" s="174"/>
      <c r="H49" s="174"/>
      <c r="I49" s="175" t="s">
        <v>226</v>
      </c>
      <c r="J49" s="143"/>
    </row>
    <row r="50" spans="1:12" ht="36.75" customHeight="1" thickBot="1" x14ac:dyDescent="0.25">
      <c r="A50" s="169">
        <f t="shared" si="2"/>
        <v>119</v>
      </c>
      <c r="B50" s="170">
        <v>190</v>
      </c>
      <c r="C50" s="171" t="s">
        <v>227</v>
      </c>
      <c r="D50" s="172">
        <v>32753601</v>
      </c>
      <c r="E50" s="178">
        <f>G$192*D50</f>
        <v>57088.347668881353</v>
      </c>
      <c r="F50" s="179"/>
      <c r="G50" s="174"/>
      <c r="H50" s="417">
        <f>D50-E50</f>
        <v>32696512.652331118</v>
      </c>
      <c r="I50" s="553" t="s">
        <v>595</v>
      </c>
      <c r="J50" s="547"/>
    </row>
    <row r="51" spans="1:12" x14ac:dyDescent="0.2">
      <c r="A51" s="169">
        <f t="shared" si="2"/>
        <v>120</v>
      </c>
      <c r="B51" s="170">
        <v>190</v>
      </c>
      <c r="C51" s="171" t="s">
        <v>229</v>
      </c>
      <c r="D51" s="447">
        <f>18816855+58848</f>
        <v>18875703</v>
      </c>
      <c r="E51" s="448">
        <f>18816855+58848</f>
        <v>18875703</v>
      </c>
      <c r="F51" s="174"/>
      <c r="G51" s="174"/>
      <c r="H51" s="449"/>
      <c r="I51" s="175" t="s">
        <v>230</v>
      </c>
      <c r="J51" s="143"/>
    </row>
    <row r="52" spans="1:12" x14ac:dyDescent="0.2">
      <c r="A52" s="169">
        <f t="shared" si="2"/>
        <v>121</v>
      </c>
      <c r="B52" s="170">
        <v>190</v>
      </c>
      <c r="C52" s="171" t="s">
        <v>231</v>
      </c>
      <c r="D52" s="447">
        <v>17034564</v>
      </c>
      <c r="E52" s="448">
        <v>17034564</v>
      </c>
      <c r="F52" s="174"/>
      <c r="G52" s="174"/>
      <c r="H52" s="174"/>
      <c r="I52" s="175" t="s">
        <v>224</v>
      </c>
      <c r="J52" s="143"/>
    </row>
    <row r="53" spans="1:12" x14ac:dyDescent="0.2">
      <c r="A53" s="169">
        <f t="shared" si="2"/>
        <v>122</v>
      </c>
      <c r="B53" s="170">
        <v>190</v>
      </c>
      <c r="C53" s="171" t="s">
        <v>232</v>
      </c>
      <c r="D53" s="447">
        <f>740744415+10618897</f>
        <v>751363312</v>
      </c>
      <c r="E53" s="450">
        <f>740744415+10618897</f>
        <v>751363312</v>
      </c>
      <c r="F53" s="174"/>
      <c r="G53" s="174"/>
      <c r="H53" s="174"/>
      <c r="I53" s="143" t="s">
        <v>230</v>
      </c>
      <c r="J53" s="143"/>
      <c r="K53" s="78"/>
    </row>
    <row r="54" spans="1:12" x14ac:dyDescent="0.2">
      <c r="A54" s="169">
        <f t="shared" si="2"/>
        <v>123</v>
      </c>
      <c r="B54" s="170">
        <v>190</v>
      </c>
      <c r="C54" s="171" t="s">
        <v>270</v>
      </c>
      <c r="D54" s="172">
        <v>1551332</v>
      </c>
      <c r="E54" s="173">
        <f>G$200*D54</f>
        <v>1341.1361324245977</v>
      </c>
      <c r="F54" s="174"/>
      <c r="G54" s="174">
        <f>D54-E54</f>
        <v>1549990.8638675753</v>
      </c>
      <c r="H54" s="174"/>
      <c r="I54" s="175" t="s">
        <v>202</v>
      </c>
      <c r="J54" s="143"/>
      <c r="L54" s="78"/>
    </row>
    <row r="55" spans="1:12" x14ac:dyDescent="0.2">
      <c r="A55" s="65"/>
      <c r="B55" s="181"/>
      <c r="C55" s="182"/>
      <c r="D55" s="183"/>
      <c r="E55" s="184"/>
      <c r="F55" s="184"/>
      <c r="G55" s="184"/>
      <c r="H55" s="184"/>
      <c r="I55" s="142"/>
      <c r="J55" s="142"/>
      <c r="K55" s="78"/>
      <c r="L55" s="78"/>
    </row>
    <row r="56" spans="1:12" x14ac:dyDescent="0.2">
      <c r="A56" s="65"/>
      <c r="B56" s="145" t="s">
        <v>233</v>
      </c>
      <c r="C56" s="162"/>
      <c r="D56" s="166"/>
      <c r="E56" s="144"/>
      <c r="F56" s="144"/>
      <c r="G56" s="144"/>
      <c r="H56" s="144"/>
      <c r="I56" s="144"/>
      <c r="J56" s="142"/>
      <c r="K56" s="78"/>
      <c r="L56" s="78"/>
    </row>
    <row r="57" spans="1:12" x14ac:dyDescent="0.2">
      <c r="A57" s="65"/>
      <c r="B57" s="145"/>
      <c r="C57" s="129" t="s">
        <v>167</v>
      </c>
      <c r="D57" s="129" t="s">
        <v>168</v>
      </c>
      <c r="E57" s="129" t="s">
        <v>184</v>
      </c>
      <c r="F57" s="129" t="s">
        <v>185</v>
      </c>
      <c r="G57" s="129" t="s">
        <v>186</v>
      </c>
      <c r="H57" s="129" t="s">
        <v>187</v>
      </c>
      <c r="I57" s="129" t="s">
        <v>188</v>
      </c>
      <c r="J57" s="142"/>
      <c r="K57" s="78"/>
      <c r="L57" s="78"/>
    </row>
    <row r="58" spans="1:12" x14ac:dyDescent="0.2">
      <c r="A58" s="65"/>
      <c r="B58" s="163"/>
      <c r="C58" s="163"/>
      <c r="D58" s="163" t="s">
        <v>189</v>
      </c>
      <c r="E58" s="163" t="s">
        <v>190</v>
      </c>
      <c r="F58" s="163"/>
      <c r="G58" s="163"/>
      <c r="H58" s="163"/>
      <c r="I58" s="167" t="s">
        <v>192</v>
      </c>
      <c r="J58" s="142"/>
      <c r="K58" s="78"/>
      <c r="L58" s="78"/>
    </row>
    <row r="59" spans="1:12" x14ac:dyDescent="0.2">
      <c r="A59" s="65"/>
      <c r="B59" s="168" t="s">
        <v>193</v>
      </c>
      <c r="C59" s="168" t="s">
        <v>194</v>
      </c>
      <c r="D59" s="168" t="s">
        <v>195</v>
      </c>
      <c r="E59" s="168" t="s">
        <v>196</v>
      </c>
      <c r="F59" s="168" t="s">
        <v>197</v>
      </c>
      <c r="G59" s="168" t="s">
        <v>198</v>
      </c>
      <c r="H59" s="168" t="s">
        <v>234</v>
      </c>
      <c r="I59" s="168" t="s">
        <v>6</v>
      </c>
      <c r="J59" s="142"/>
      <c r="K59" s="78"/>
      <c r="L59" s="78"/>
    </row>
    <row r="60" spans="1:12" x14ac:dyDescent="0.2">
      <c r="A60" s="65"/>
      <c r="B60" s="146" t="s">
        <v>200</v>
      </c>
      <c r="C60" s="146"/>
      <c r="D60" s="146"/>
      <c r="E60" s="144"/>
      <c r="F60" s="144"/>
      <c r="G60" s="144"/>
      <c r="H60" s="144"/>
      <c r="I60" s="144"/>
      <c r="J60" s="142"/>
      <c r="K60" s="78"/>
      <c r="L60" s="78"/>
    </row>
    <row r="61" spans="1:12" x14ac:dyDescent="0.2">
      <c r="A61" s="169">
        <f>A54+1</f>
        <v>124</v>
      </c>
      <c r="B61" s="170" t="s">
        <v>235</v>
      </c>
      <c r="C61" s="171"/>
      <c r="D61" s="172"/>
      <c r="E61" s="174"/>
      <c r="F61" s="174"/>
      <c r="G61" s="174"/>
      <c r="H61" s="174"/>
      <c r="I61" s="143"/>
      <c r="J61" s="143"/>
      <c r="K61" s="78"/>
      <c r="L61" s="78"/>
    </row>
    <row r="62" spans="1:12" x14ac:dyDescent="0.2">
      <c r="A62" s="60"/>
      <c r="B62" s="185"/>
      <c r="C62" s="146"/>
      <c r="D62" s="186"/>
      <c r="E62" s="187"/>
      <c r="F62" s="187"/>
      <c r="G62" s="187"/>
      <c r="H62" s="187"/>
      <c r="I62" s="150" t="s">
        <v>8</v>
      </c>
      <c r="J62" s="144"/>
      <c r="K62" s="78"/>
      <c r="L62" s="78"/>
    </row>
    <row r="63" spans="1:12" x14ac:dyDescent="0.2">
      <c r="A63" s="65">
        <v>250</v>
      </c>
      <c r="B63" s="146"/>
      <c r="C63" s="146" t="s">
        <v>236</v>
      </c>
      <c r="D63" s="196">
        <f>SUM(D31:D54)+SUM(D61:D61)</f>
        <v>2171766992</v>
      </c>
      <c r="E63" s="196">
        <f>SUM(E31:E54)+SUM(E61:E61)</f>
        <v>1989699858.0841434</v>
      </c>
      <c r="F63" s="188">
        <f>SUM(F31:F54)+SUM(F61:F61)</f>
        <v>0</v>
      </c>
      <c r="G63" s="188">
        <f>SUM(G31:G54)+SUM(G61:G61)</f>
        <v>4426268.1528119184</v>
      </c>
      <c r="H63" s="188">
        <f>SUM(H31:H54)+SUM(H61:H61)</f>
        <v>177640865.76304477</v>
      </c>
      <c r="I63" s="157" t="str">
        <f>"Sum of Above Lines beginning on Line "&amp;A31&amp;""</f>
        <v>Sum of Above Lines beginning on Line 100</v>
      </c>
      <c r="J63" s="144"/>
      <c r="K63" s="78"/>
      <c r="L63" s="78"/>
    </row>
    <row r="64" spans="1:12" x14ac:dyDescent="0.2">
      <c r="A64" s="60"/>
      <c r="B64" s="146"/>
      <c r="C64" s="146"/>
      <c r="D64" s="189"/>
      <c r="E64" s="187"/>
      <c r="F64" s="187"/>
      <c r="G64" s="187"/>
      <c r="H64" s="187"/>
      <c r="I64" s="144"/>
      <c r="J64" s="144"/>
    </row>
    <row r="65" spans="1:10" x14ac:dyDescent="0.2">
      <c r="A65" s="60"/>
      <c r="B65" s="146" t="s">
        <v>237</v>
      </c>
      <c r="C65" s="146"/>
      <c r="D65" s="189"/>
      <c r="E65" s="187"/>
      <c r="F65" s="187"/>
      <c r="G65" s="187"/>
      <c r="H65" s="187"/>
      <c r="I65" s="167" t="s">
        <v>192</v>
      </c>
      <c r="J65" s="144"/>
    </row>
    <row r="66" spans="1:10" x14ac:dyDescent="0.2">
      <c r="A66" s="60"/>
      <c r="C66" s="129" t="s">
        <v>167</v>
      </c>
      <c r="D66" s="129" t="s">
        <v>168</v>
      </c>
      <c r="E66" s="129" t="s">
        <v>184</v>
      </c>
      <c r="F66" s="129" t="s">
        <v>185</v>
      </c>
      <c r="G66" s="129" t="s">
        <v>186</v>
      </c>
      <c r="H66" s="129" t="s">
        <v>187</v>
      </c>
      <c r="I66" s="129" t="s">
        <v>188</v>
      </c>
      <c r="J66" s="144"/>
    </row>
    <row r="67" spans="1:10" x14ac:dyDescent="0.2">
      <c r="A67" s="169">
        <v>300</v>
      </c>
      <c r="B67" s="170">
        <v>190</v>
      </c>
      <c r="C67" s="171" t="s">
        <v>238</v>
      </c>
      <c r="D67" s="172">
        <v>0</v>
      </c>
      <c r="E67" s="173">
        <v>0</v>
      </c>
      <c r="F67" s="173"/>
      <c r="G67" s="173"/>
      <c r="H67" s="173"/>
      <c r="I67" s="175" t="s">
        <v>239</v>
      </c>
      <c r="J67" s="175"/>
    </row>
    <row r="68" spans="1:10" x14ac:dyDescent="0.2">
      <c r="A68" s="169">
        <f t="shared" ref="A68:A71" si="3">A67+1</f>
        <v>301</v>
      </c>
      <c r="B68" s="170">
        <v>190</v>
      </c>
      <c r="C68" s="171" t="s">
        <v>223</v>
      </c>
      <c r="D68" s="172">
        <v>0</v>
      </c>
      <c r="E68" s="173">
        <v>0</v>
      </c>
      <c r="F68" s="173"/>
      <c r="G68" s="173"/>
      <c r="H68" s="173"/>
      <c r="I68" s="175" t="s">
        <v>239</v>
      </c>
      <c r="J68" s="175"/>
    </row>
    <row r="69" spans="1:10" x14ac:dyDescent="0.2">
      <c r="A69" s="169">
        <f t="shared" si="3"/>
        <v>302</v>
      </c>
      <c r="B69" s="170">
        <v>190</v>
      </c>
      <c r="C69" s="171" t="s">
        <v>232</v>
      </c>
      <c r="D69" s="172">
        <v>0</v>
      </c>
      <c r="E69" s="173">
        <v>0</v>
      </c>
      <c r="F69" s="173"/>
      <c r="G69" s="173"/>
      <c r="H69" s="173"/>
      <c r="I69" s="175" t="s">
        <v>239</v>
      </c>
      <c r="J69" s="175"/>
    </row>
    <row r="70" spans="1:10" x14ac:dyDescent="0.2">
      <c r="A70" s="169">
        <f t="shared" si="3"/>
        <v>303</v>
      </c>
      <c r="B70" s="170">
        <v>190</v>
      </c>
      <c r="C70" s="171" t="s">
        <v>240</v>
      </c>
      <c r="D70" s="172">
        <v>0</v>
      </c>
      <c r="E70" s="173">
        <v>0</v>
      </c>
      <c r="F70" s="173"/>
      <c r="G70" s="173"/>
      <c r="H70" s="173"/>
      <c r="I70" s="175" t="s">
        <v>239</v>
      </c>
      <c r="J70" s="175"/>
    </row>
    <row r="71" spans="1:10" x14ac:dyDescent="0.2">
      <c r="A71" s="451">
        <f t="shared" si="3"/>
        <v>304</v>
      </c>
      <c r="B71" s="452" t="s">
        <v>235</v>
      </c>
      <c r="C71" s="453"/>
      <c r="D71" s="447"/>
      <c r="E71" s="450"/>
      <c r="F71" s="450"/>
      <c r="G71" s="450"/>
      <c r="H71" s="450"/>
      <c r="I71" s="454"/>
      <c r="J71" s="454"/>
    </row>
    <row r="72" spans="1:10" x14ac:dyDescent="0.2">
      <c r="A72" s="60"/>
      <c r="B72" s="185"/>
      <c r="C72" s="182"/>
      <c r="D72" s="183"/>
      <c r="E72" s="184"/>
      <c r="F72" s="184"/>
      <c r="G72" s="184"/>
      <c r="H72" s="184"/>
      <c r="I72" s="142"/>
      <c r="J72" s="142"/>
    </row>
    <row r="73" spans="1:10" x14ac:dyDescent="0.2">
      <c r="A73" s="60"/>
      <c r="B73" s="185"/>
      <c r="C73" s="129" t="s">
        <v>167</v>
      </c>
      <c r="D73" s="129" t="s">
        <v>168</v>
      </c>
      <c r="E73" s="129" t="s">
        <v>184</v>
      </c>
      <c r="F73" s="129" t="s">
        <v>185</v>
      </c>
      <c r="G73" s="129" t="s">
        <v>186</v>
      </c>
      <c r="H73" s="129" t="s">
        <v>187</v>
      </c>
      <c r="I73" s="150" t="s">
        <v>8</v>
      </c>
      <c r="J73" s="144"/>
    </row>
    <row r="74" spans="1:10" x14ac:dyDescent="0.2">
      <c r="A74" s="191">
        <v>350</v>
      </c>
      <c r="B74" s="146"/>
      <c r="C74" s="146" t="s">
        <v>241</v>
      </c>
      <c r="D74" s="196">
        <f>SUM(D67:D70)</f>
        <v>0</v>
      </c>
      <c r="E74" s="196">
        <f>SUM(E67:E70)</f>
        <v>0</v>
      </c>
      <c r="F74" s="188">
        <f>SUM(F67:F70)</f>
        <v>0</v>
      </c>
      <c r="G74" s="188">
        <f>SUM(G67:G70)</f>
        <v>0</v>
      </c>
      <c r="H74" s="188">
        <f>SUM(H67:H70)</f>
        <v>0</v>
      </c>
      <c r="I74" s="157" t="str">
        <f>"Sum of Above Lines beginning on Line "&amp;A67&amp;""</f>
        <v>Sum of Above Lines beginning on Line 300</v>
      </c>
      <c r="J74" s="144"/>
    </row>
    <row r="75" spans="1:10" x14ac:dyDescent="0.2">
      <c r="A75" s="191"/>
      <c r="B75" s="146"/>
      <c r="C75" s="146"/>
      <c r="D75" s="188"/>
      <c r="E75" s="188"/>
      <c r="F75" s="188"/>
      <c r="G75" s="188"/>
      <c r="H75" s="188"/>
      <c r="I75" s="157"/>
      <c r="J75" s="144"/>
    </row>
    <row r="76" spans="1:10" x14ac:dyDescent="0.2">
      <c r="A76" s="191">
        <f t="shared" ref="A76" si="4">A74+1</f>
        <v>351</v>
      </c>
      <c r="B76" s="146"/>
      <c r="C76" s="146" t="s">
        <v>242</v>
      </c>
      <c r="D76" s="188">
        <f>+D74+D63</f>
        <v>2171766992</v>
      </c>
      <c r="E76" s="188">
        <f>+E74+E63</f>
        <v>1989699858.0841434</v>
      </c>
      <c r="F76" s="188">
        <f>+F74+F63</f>
        <v>0</v>
      </c>
      <c r="G76" s="188">
        <f>+G74+G63</f>
        <v>4426268.1528119184</v>
      </c>
      <c r="H76" s="188">
        <f>+H74+H63</f>
        <v>177640865.76304477</v>
      </c>
      <c r="I76" s="192" t="str">
        <f>"Line "&amp;A63&amp;" + Line "&amp;A74&amp;""</f>
        <v>Line 250 + Line 350</v>
      </c>
      <c r="J76" s="144"/>
    </row>
    <row r="77" spans="1:10" x14ac:dyDescent="0.2">
      <c r="A77" s="191">
        <f>+A76+1</f>
        <v>352</v>
      </c>
      <c r="B77" s="146"/>
      <c r="C77" s="146" t="s">
        <v>243</v>
      </c>
      <c r="D77" s="188"/>
      <c r="E77" s="188"/>
      <c r="F77" s="188"/>
      <c r="G77" s="455">
        <v>0.16535211833830871</v>
      </c>
      <c r="H77" s="455">
        <v>4.2450573372571437E-2</v>
      </c>
      <c r="I77" s="194" t="s">
        <v>762</v>
      </c>
      <c r="J77" s="144"/>
    </row>
    <row r="78" spans="1:10" x14ac:dyDescent="0.2">
      <c r="A78" s="191">
        <f>+A77+1</f>
        <v>353</v>
      </c>
      <c r="B78" s="146"/>
      <c r="C78" s="146" t="s">
        <v>244</v>
      </c>
      <c r="D78" s="188">
        <f>SUM(F78:H78)</f>
        <v>8272849.4214420887</v>
      </c>
      <c r="E78" s="188"/>
      <c r="F78" s="195">
        <f>+F76</f>
        <v>0</v>
      </c>
      <c r="G78" s="195">
        <f>+G76*G77</f>
        <v>731892.81540084339</v>
      </c>
      <c r="H78" s="195">
        <f>+H76*H77</f>
        <v>7540956.6060412452</v>
      </c>
      <c r="I78" s="192" t="str">
        <f>"Line "&amp;A76&amp;" * Line "&amp;A77&amp;" for Cols 5 and 6.  Col. 4 100% ISO."</f>
        <v>Line 351 * Line 352 for Cols 5 and 6.  Col. 4 100% ISO.</v>
      </c>
      <c r="J78" s="144"/>
    </row>
    <row r="79" spans="1:10" x14ac:dyDescent="0.2">
      <c r="A79" s="191"/>
      <c r="B79" s="146"/>
      <c r="C79" s="197" t="s">
        <v>245</v>
      </c>
      <c r="D79" s="188"/>
      <c r="E79" s="188"/>
      <c r="F79" s="188"/>
      <c r="G79" s="188"/>
      <c r="H79" s="188"/>
      <c r="I79" s="192"/>
      <c r="J79" s="144"/>
    </row>
    <row r="80" spans="1:10" x14ac:dyDescent="0.2">
      <c r="A80" s="191"/>
      <c r="B80" s="146"/>
      <c r="C80" s="146"/>
      <c r="D80" s="188"/>
      <c r="E80" s="188"/>
      <c r="F80" s="188"/>
      <c r="G80" s="188"/>
      <c r="H80" s="188"/>
      <c r="I80" s="192"/>
      <c r="J80" s="144"/>
    </row>
    <row r="81" spans="1:10" x14ac:dyDescent="0.2">
      <c r="A81" s="191">
        <f>+A78+1</f>
        <v>354</v>
      </c>
      <c r="B81" s="146"/>
      <c r="C81" s="146" t="s">
        <v>246</v>
      </c>
      <c r="D81" s="198">
        <v>2171766992</v>
      </c>
      <c r="E81" s="199" t="str">
        <f>"Must match amount on Line "&amp;A76&amp;", Col. 2"</f>
        <v>Must match amount on Line 351, Col. 2</v>
      </c>
      <c r="G81" s="188"/>
      <c r="H81" s="188"/>
      <c r="I81" s="192" t="s">
        <v>247</v>
      </c>
      <c r="J81" s="144"/>
    </row>
    <row r="82" spans="1:10" x14ac:dyDescent="0.2">
      <c r="A82" s="60"/>
      <c r="B82" s="146"/>
      <c r="C82" s="146"/>
      <c r="D82" s="200"/>
      <c r="E82" s="200"/>
      <c r="F82" s="200"/>
      <c r="G82" s="200"/>
      <c r="H82" s="200"/>
      <c r="I82" s="201"/>
      <c r="J82" s="144"/>
    </row>
    <row r="83" spans="1:10" x14ac:dyDescent="0.2">
      <c r="A83" s="124"/>
      <c r="B83" s="145" t="s">
        <v>248</v>
      </c>
      <c r="C83" s="202"/>
      <c r="D83" s="200"/>
      <c r="E83" s="144"/>
      <c r="F83" s="144"/>
      <c r="G83" s="144"/>
      <c r="H83" s="144"/>
      <c r="I83" s="144"/>
      <c r="J83" s="144"/>
    </row>
    <row r="84" spans="1:10" x14ac:dyDescent="0.2">
      <c r="A84" s="124"/>
      <c r="C84" s="129" t="s">
        <v>167</v>
      </c>
      <c r="D84" s="129" t="s">
        <v>168</v>
      </c>
      <c r="E84" s="129" t="s">
        <v>184</v>
      </c>
      <c r="F84" s="129" t="s">
        <v>185</v>
      </c>
      <c r="G84" s="129" t="s">
        <v>186</v>
      </c>
      <c r="H84" s="129" t="s">
        <v>187</v>
      </c>
      <c r="I84" s="129" t="s">
        <v>188</v>
      </c>
      <c r="J84" s="144"/>
    </row>
    <row r="85" spans="1:10" x14ac:dyDescent="0.2">
      <c r="A85" s="124"/>
      <c r="B85" s="163"/>
      <c r="C85" s="163"/>
      <c r="D85" s="163" t="s">
        <v>189</v>
      </c>
      <c r="E85" s="163" t="s">
        <v>190</v>
      </c>
      <c r="F85" s="163"/>
      <c r="G85" s="163"/>
      <c r="H85" s="163" t="s">
        <v>191</v>
      </c>
      <c r="I85" s="167" t="s">
        <v>192</v>
      </c>
      <c r="J85" s="144"/>
    </row>
    <row r="86" spans="1:10" x14ac:dyDescent="0.2">
      <c r="A86" s="124"/>
      <c r="B86" s="168" t="s">
        <v>249</v>
      </c>
      <c r="C86" s="168" t="s">
        <v>194</v>
      </c>
      <c r="D86" s="168" t="s">
        <v>195</v>
      </c>
      <c r="E86" s="168" t="s">
        <v>196</v>
      </c>
      <c r="F86" s="168" t="s">
        <v>197</v>
      </c>
      <c r="G86" s="168" t="s">
        <v>198</v>
      </c>
      <c r="H86" s="168" t="s">
        <v>199</v>
      </c>
      <c r="I86" s="168" t="s">
        <v>6</v>
      </c>
      <c r="J86" s="144"/>
    </row>
    <row r="87" spans="1:10" x14ac:dyDescent="0.2">
      <c r="A87" s="169">
        <v>400</v>
      </c>
      <c r="B87" s="203">
        <v>282</v>
      </c>
      <c r="C87" s="204" t="s">
        <v>250</v>
      </c>
      <c r="D87" s="205">
        <v>-1017144403</v>
      </c>
      <c r="E87" s="173"/>
      <c r="F87" s="173">
        <v>-1017144403</v>
      </c>
      <c r="G87" s="173"/>
      <c r="H87" s="173"/>
      <c r="I87" s="175" t="s">
        <v>251</v>
      </c>
      <c r="J87" s="175"/>
    </row>
    <row r="88" spans="1:10" x14ac:dyDescent="0.2">
      <c r="A88" s="169">
        <f t="shared" ref="A88:A101" si="5">A87+1</f>
        <v>401</v>
      </c>
      <c r="B88" s="203">
        <v>282</v>
      </c>
      <c r="C88" s="204" t="s">
        <v>252</v>
      </c>
      <c r="D88" s="205">
        <v>0</v>
      </c>
      <c r="E88" s="173">
        <v>0</v>
      </c>
      <c r="F88" s="173"/>
      <c r="G88" s="173"/>
      <c r="H88" s="173"/>
      <c r="I88" s="175" t="s">
        <v>230</v>
      </c>
      <c r="J88" s="175"/>
    </row>
    <row r="89" spans="1:10" x14ac:dyDescent="0.2">
      <c r="A89" s="169">
        <f t="shared" si="5"/>
        <v>402</v>
      </c>
      <c r="B89" s="203">
        <v>282</v>
      </c>
      <c r="C89" s="206" t="s">
        <v>253</v>
      </c>
      <c r="D89" s="205">
        <v>0</v>
      </c>
      <c r="E89" s="173"/>
      <c r="F89" s="173">
        <v>0</v>
      </c>
      <c r="G89" s="173"/>
      <c r="H89" s="173"/>
      <c r="I89" s="175" t="s">
        <v>251</v>
      </c>
      <c r="J89" s="175"/>
    </row>
    <row r="90" spans="1:10" x14ac:dyDescent="0.2">
      <c r="A90" s="169">
        <f t="shared" si="5"/>
        <v>403</v>
      </c>
      <c r="B90" s="203">
        <v>282</v>
      </c>
      <c r="C90" s="204" t="s">
        <v>254</v>
      </c>
      <c r="D90" s="205">
        <v>0</v>
      </c>
      <c r="E90" s="173"/>
      <c r="F90" s="173"/>
      <c r="G90" s="173">
        <v>0</v>
      </c>
      <c r="H90" s="173"/>
      <c r="I90" s="175" t="s">
        <v>215</v>
      </c>
      <c r="J90" s="175"/>
    </row>
    <row r="91" spans="1:10" x14ac:dyDescent="0.2">
      <c r="A91" s="169">
        <f t="shared" si="5"/>
        <v>404</v>
      </c>
      <c r="B91" s="203">
        <v>282</v>
      </c>
      <c r="C91" s="204" t="s">
        <v>255</v>
      </c>
      <c r="D91" s="205">
        <v>1050000</v>
      </c>
      <c r="E91" s="173"/>
      <c r="F91" s="173">
        <v>1050000</v>
      </c>
      <c r="G91" s="173"/>
      <c r="H91" s="173"/>
      <c r="I91" s="175" t="s">
        <v>251</v>
      </c>
      <c r="J91" s="175"/>
    </row>
    <row r="92" spans="1:10" x14ac:dyDescent="0.2">
      <c r="A92" s="169">
        <f t="shared" si="5"/>
        <v>405</v>
      </c>
      <c r="B92" s="203">
        <v>282</v>
      </c>
      <c r="C92" s="204" t="s">
        <v>256</v>
      </c>
      <c r="D92" s="205">
        <v>0</v>
      </c>
      <c r="E92" s="173"/>
      <c r="F92" s="173">
        <v>0</v>
      </c>
      <c r="G92" s="173"/>
      <c r="H92" s="173"/>
      <c r="I92" s="175" t="s">
        <v>251</v>
      </c>
      <c r="J92" s="175"/>
    </row>
    <row r="93" spans="1:10" x14ac:dyDescent="0.2">
      <c r="A93" s="169">
        <f t="shared" si="5"/>
        <v>406</v>
      </c>
      <c r="B93" s="203">
        <v>282</v>
      </c>
      <c r="C93" s="204" t="s">
        <v>257</v>
      </c>
      <c r="D93" s="205">
        <v>0</v>
      </c>
      <c r="E93" s="173"/>
      <c r="F93" s="173"/>
      <c r="G93" s="173">
        <v>0</v>
      </c>
      <c r="H93" s="173"/>
      <c r="I93" s="175" t="s">
        <v>215</v>
      </c>
      <c r="J93" s="175"/>
    </row>
    <row r="94" spans="1:10" x14ac:dyDescent="0.2">
      <c r="A94" s="169">
        <f t="shared" si="5"/>
        <v>407</v>
      </c>
      <c r="B94" s="203">
        <v>282</v>
      </c>
      <c r="C94" s="204" t="s">
        <v>229</v>
      </c>
      <c r="D94" s="205">
        <v>-6526944841</v>
      </c>
      <c r="E94" s="173">
        <v>-6526944841</v>
      </c>
      <c r="F94" s="173"/>
      <c r="G94" s="173"/>
      <c r="H94" s="173"/>
      <c r="I94" s="175" t="s">
        <v>230</v>
      </c>
      <c r="J94" s="175"/>
    </row>
    <row r="95" spans="1:10" x14ac:dyDescent="0.2">
      <c r="A95" s="169">
        <f t="shared" si="5"/>
        <v>408</v>
      </c>
      <c r="B95" s="207">
        <v>282</v>
      </c>
      <c r="C95" s="204" t="s">
        <v>258</v>
      </c>
      <c r="D95" s="198">
        <v>-204514834</v>
      </c>
      <c r="E95" s="173">
        <v>-204514834</v>
      </c>
      <c r="F95" s="173"/>
      <c r="G95" s="173"/>
      <c r="H95" s="173"/>
      <c r="I95" s="175" t="s">
        <v>259</v>
      </c>
      <c r="J95" s="175"/>
    </row>
    <row r="96" spans="1:10" x14ac:dyDescent="0.2">
      <c r="A96" s="169">
        <f t="shared" si="5"/>
        <v>409</v>
      </c>
      <c r="B96" s="207">
        <v>282</v>
      </c>
      <c r="C96" s="107" t="s">
        <v>596</v>
      </c>
      <c r="D96" s="198">
        <v>-304790964</v>
      </c>
      <c r="E96" s="173">
        <v>-304790964</v>
      </c>
      <c r="F96" s="173"/>
      <c r="G96" s="173"/>
      <c r="H96" s="173"/>
      <c r="I96" s="175" t="s">
        <v>597</v>
      </c>
      <c r="J96" s="175"/>
    </row>
    <row r="97" spans="1:10" x14ac:dyDescent="0.2">
      <c r="A97" s="169">
        <f t="shared" si="5"/>
        <v>410</v>
      </c>
      <c r="B97" s="207">
        <v>282</v>
      </c>
      <c r="C97" s="107" t="s">
        <v>272</v>
      </c>
      <c r="D97" s="198">
        <v>-228385965</v>
      </c>
      <c r="E97" s="173">
        <v>-228385965</v>
      </c>
      <c r="F97" s="174"/>
      <c r="G97" s="174"/>
      <c r="H97" s="174"/>
      <c r="I97" s="175" t="s">
        <v>598</v>
      </c>
      <c r="J97" s="143"/>
    </row>
    <row r="98" spans="1:10" x14ac:dyDescent="0.2">
      <c r="A98" s="169">
        <f t="shared" si="5"/>
        <v>411</v>
      </c>
      <c r="B98" s="203">
        <v>282</v>
      </c>
      <c r="C98" s="204" t="s">
        <v>229</v>
      </c>
      <c r="D98" s="205">
        <v>-11114447</v>
      </c>
      <c r="E98" s="173">
        <v>-11114447</v>
      </c>
      <c r="F98" s="173"/>
      <c r="G98" s="173"/>
      <c r="H98" s="173"/>
      <c r="I98" s="175" t="s">
        <v>239</v>
      </c>
      <c r="J98" s="175"/>
    </row>
    <row r="99" spans="1:10" x14ac:dyDescent="0.2">
      <c r="A99" s="169">
        <f t="shared" si="5"/>
        <v>412</v>
      </c>
      <c r="B99" s="203">
        <v>282</v>
      </c>
      <c r="C99" s="204" t="s">
        <v>272</v>
      </c>
      <c r="D99" s="205">
        <v>2256625</v>
      </c>
      <c r="E99" s="173">
        <v>2256625</v>
      </c>
      <c r="F99" s="173"/>
      <c r="G99" s="173"/>
      <c r="H99" s="173"/>
      <c r="I99" s="175" t="s">
        <v>239</v>
      </c>
      <c r="J99" s="175"/>
    </row>
    <row r="100" spans="1:10" x14ac:dyDescent="0.2">
      <c r="A100" s="169">
        <f t="shared" si="5"/>
        <v>413</v>
      </c>
      <c r="B100" s="203">
        <v>282</v>
      </c>
      <c r="C100" s="206" t="s">
        <v>232</v>
      </c>
      <c r="D100" s="205">
        <v>-17674199</v>
      </c>
      <c r="E100" s="173">
        <v>-17674199</v>
      </c>
      <c r="F100" s="173"/>
      <c r="G100" s="173"/>
      <c r="H100" s="173"/>
      <c r="I100" s="175" t="s">
        <v>239</v>
      </c>
      <c r="J100" s="175"/>
    </row>
    <row r="101" spans="1:10" x14ac:dyDescent="0.2">
      <c r="A101" s="169">
        <f t="shared" si="5"/>
        <v>414</v>
      </c>
      <c r="B101" s="170" t="s">
        <v>235</v>
      </c>
      <c r="C101" s="107"/>
      <c r="D101" s="198"/>
      <c r="E101" s="174"/>
      <c r="F101" s="174"/>
      <c r="G101" s="174"/>
      <c r="H101" s="174"/>
      <c r="I101" s="143"/>
      <c r="J101" s="143"/>
    </row>
    <row r="102" spans="1:10" x14ac:dyDescent="0.2">
      <c r="A102" s="60"/>
      <c r="B102" s="111"/>
      <c r="C102" s="68"/>
      <c r="D102" s="196"/>
      <c r="E102" s="184"/>
      <c r="F102" s="184"/>
      <c r="G102" s="184"/>
      <c r="H102" s="184"/>
      <c r="I102" s="142"/>
      <c r="J102" s="142"/>
    </row>
    <row r="103" spans="1:10" x14ac:dyDescent="0.2">
      <c r="A103" s="60"/>
      <c r="B103" s="111"/>
      <c r="C103" s="129" t="s">
        <v>167</v>
      </c>
      <c r="D103" s="129" t="s">
        <v>168</v>
      </c>
      <c r="E103" s="129" t="s">
        <v>184</v>
      </c>
      <c r="F103" s="129" t="s">
        <v>185</v>
      </c>
      <c r="G103" s="129" t="s">
        <v>186</v>
      </c>
      <c r="H103" s="129" t="s">
        <v>187</v>
      </c>
      <c r="I103" s="150" t="s">
        <v>8</v>
      </c>
      <c r="J103" s="142"/>
    </row>
    <row r="104" spans="1:10" x14ac:dyDescent="0.2">
      <c r="A104" s="65">
        <v>450</v>
      </c>
      <c r="B104" s="208"/>
      <c r="C104" s="124" t="s">
        <v>260</v>
      </c>
      <c r="D104" s="188">
        <f>SUM(D87:D101)</f>
        <v>-8307263028</v>
      </c>
      <c r="E104" s="188">
        <f>SUM(E87:E101)</f>
        <v>-7291168625</v>
      </c>
      <c r="F104" s="188">
        <f>SUM(F87:F101)</f>
        <v>-1016094403</v>
      </c>
      <c r="G104" s="188">
        <f>SUM(G87:G101)</f>
        <v>0</v>
      </c>
      <c r="H104" s="188">
        <f>SUM(H87:H101)</f>
        <v>0</v>
      </c>
      <c r="I104" s="157" t="str">
        <f>"Sum of Above Lines beginning on Line "&amp;A87&amp;""</f>
        <v>Sum of Above Lines beginning on Line 400</v>
      </c>
      <c r="J104" s="144"/>
    </row>
    <row r="105" spans="1:10" x14ac:dyDescent="0.2">
      <c r="A105" s="191">
        <f>+A104+1</f>
        <v>451</v>
      </c>
      <c r="B105" s="146"/>
      <c r="C105" s="146" t="s">
        <v>243</v>
      </c>
      <c r="D105" s="188"/>
      <c r="E105" s="188"/>
      <c r="F105" s="188"/>
      <c r="G105" s="455">
        <v>0.16535211833830871</v>
      </c>
      <c r="H105" s="455">
        <v>4.2450573372571437E-2</v>
      </c>
      <c r="I105" s="194" t="s">
        <v>762</v>
      </c>
      <c r="J105" s="144"/>
    </row>
    <row r="106" spans="1:10" x14ac:dyDescent="0.2">
      <c r="A106" s="191">
        <f>+A105+1</f>
        <v>452</v>
      </c>
      <c r="B106" s="146"/>
      <c r="C106" s="146" t="s">
        <v>261</v>
      </c>
      <c r="D106" s="188">
        <f>SUM(F106:H106)</f>
        <v>-1016094403</v>
      </c>
      <c r="E106" s="188"/>
      <c r="F106" s="195">
        <f>+F104</f>
        <v>-1016094403</v>
      </c>
      <c r="G106" s="195">
        <f>+G104*G105</f>
        <v>0</v>
      </c>
      <c r="H106" s="195">
        <f>+H104*H105</f>
        <v>0</v>
      </c>
      <c r="I106" s="192" t="str">
        <f>"Line "&amp;A104&amp;" * Line "&amp;A105&amp;" for Cols 5 and 6.  Col. 4 100% ISO."</f>
        <v>Line 450 * Line 451 for Cols 5 and 6.  Col. 4 100% ISO.</v>
      </c>
      <c r="J106" s="144"/>
    </row>
    <row r="107" spans="1:10" x14ac:dyDescent="0.2">
      <c r="A107" s="191"/>
      <c r="B107" s="146"/>
      <c r="C107" s="197" t="s">
        <v>245</v>
      </c>
      <c r="D107" s="188"/>
      <c r="E107" s="188"/>
      <c r="F107" s="188"/>
      <c r="G107" s="188"/>
      <c r="H107" s="188"/>
      <c r="I107" s="192"/>
      <c r="J107" s="144"/>
    </row>
    <row r="108" spans="1:10" x14ac:dyDescent="0.2">
      <c r="A108" s="65"/>
      <c r="B108" s="208"/>
      <c r="C108" s="124"/>
      <c r="D108" s="188"/>
      <c r="E108" s="188"/>
      <c r="F108" s="188"/>
      <c r="G108" s="188"/>
      <c r="H108" s="188"/>
      <c r="I108" s="157"/>
      <c r="J108" s="144"/>
    </row>
    <row r="109" spans="1:10" x14ac:dyDescent="0.2">
      <c r="A109" s="65">
        <f>+A106+1</f>
        <v>453</v>
      </c>
      <c r="B109" s="208"/>
      <c r="C109" s="146" t="s">
        <v>262</v>
      </c>
      <c r="D109" s="198">
        <v>-8307263029</v>
      </c>
      <c r="E109" s="199" t="str">
        <f>"Must match amount on Line "&amp;A104&amp;", Col. 2"</f>
        <v>Must match amount on Line 450, Col. 2</v>
      </c>
      <c r="F109" s="188"/>
      <c r="G109" s="188"/>
      <c r="H109" s="188"/>
      <c r="I109" s="157" t="s">
        <v>263</v>
      </c>
      <c r="J109" s="144"/>
    </row>
    <row r="110" spans="1:10" x14ac:dyDescent="0.2">
      <c r="A110" s="60"/>
      <c r="B110" s="208"/>
      <c r="C110" s="124"/>
      <c r="D110" s="188"/>
      <c r="E110" s="188"/>
      <c r="F110" s="188"/>
      <c r="G110" s="188"/>
      <c r="H110" s="188"/>
      <c r="I110" s="157"/>
      <c r="J110" s="144"/>
    </row>
    <row r="111" spans="1:10" x14ac:dyDescent="0.2">
      <c r="A111" s="60"/>
      <c r="B111" s="208"/>
      <c r="C111" s="124"/>
      <c r="D111" s="188"/>
      <c r="E111" s="188"/>
      <c r="F111" s="188"/>
      <c r="G111" s="188"/>
      <c r="H111" s="188"/>
      <c r="I111" s="201"/>
      <c r="J111" s="144"/>
    </row>
    <row r="112" spans="1:10" x14ac:dyDescent="0.2">
      <c r="A112" s="124"/>
      <c r="B112" s="145" t="s">
        <v>264</v>
      </c>
      <c r="C112" s="209"/>
      <c r="D112" s="188"/>
      <c r="E112" s="187"/>
      <c r="F112" s="187"/>
      <c r="G112" s="187"/>
      <c r="H112" s="187"/>
      <c r="I112" s="144"/>
      <c r="J112" s="144"/>
    </row>
    <row r="113" spans="1:10" x14ac:dyDescent="0.2">
      <c r="A113" s="124"/>
      <c r="B113" s="145"/>
      <c r="C113" s="129" t="s">
        <v>167</v>
      </c>
      <c r="D113" s="129" t="s">
        <v>168</v>
      </c>
      <c r="E113" s="129" t="s">
        <v>184</v>
      </c>
      <c r="F113" s="129" t="s">
        <v>185</v>
      </c>
      <c r="G113" s="129" t="s">
        <v>186</v>
      </c>
      <c r="H113" s="129" t="s">
        <v>187</v>
      </c>
      <c r="I113" s="129" t="s">
        <v>188</v>
      </c>
      <c r="J113" s="144"/>
    </row>
    <row r="114" spans="1:10" x14ac:dyDescent="0.2">
      <c r="A114" s="124"/>
      <c r="B114" s="163"/>
      <c r="C114" s="163"/>
      <c r="D114" s="210" t="s">
        <v>189</v>
      </c>
      <c r="E114" s="210" t="s">
        <v>190</v>
      </c>
      <c r="F114" s="210"/>
      <c r="G114" s="210"/>
      <c r="H114" s="210" t="s">
        <v>191</v>
      </c>
      <c r="I114" s="167" t="s">
        <v>192</v>
      </c>
      <c r="J114" s="144"/>
    </row>
    <row r="115" spans="1:10" x14ac:dyDescent="0.2">
      <c r="A115" s="124"/>
      <c r="B115" s="168" t="s">
        <v>265</v>
      </c>
      <c r="C115" s="168" t="s">
        <v>194</v>
      </c>
      <c r="D115" s="211" t="s">
        <v>195</v>
      </c>
      <c r="E115" s="211" t="s">
        <v>196</v>
      </c>
      <c r="F115" s="211" t="s">
        <v>197</v>
      </c>
      <c r="G115" s="211" t="s">
        <v>198</v>
      </c>
      <c r="H115" s="211" t="s">
        <v>199</v>
      </c>
      <c r="I115" s="168" t="s">
        <v>6</v>
      </c>
      <c r="J115" s="144"/>
    </row>
    <row r="116" spans="1:10" x14ac:dyDescent="0.2">
      <c r="A116" s="60"/>
      <c r="B116" s="146" t="s">
        <v>200</v>
      </c>
      <c r="C116" s="144"/>
      <c r="D116" s="187"/>
      <c r="E116" s="187"/>
      <c r="F116" s="187"/>
      <c r="G116" s="187"/>
      <c r="H116" s="187"/>
      <c r="I116" s="144"/>
      <c r="J116" s="144"/>
    </row>
    <row r="117" spans="1:10" x14ac:dyDescent="0.2">
      <c r="A117" s="169">
        <v>500</v>
      </c>
      <c r="B117" s="212">
        <v>283</v>
      </c>
      <c r="C117" s="206" t="s">
        <v>266</v>
      </c>
      <c r="D117" s="213">
        <v>0</v>
      </c>
      <c r="E117" s="173">
        <v>0</v>
      </c>
      <c r="F117" s="173">
        <v>0</v>
      </c>
      <c r="G117" s="173"/>
      <c r="H117" s="173"/>
      <c r="I117" s="175" t="s">
        <v>267</v>
      </c>
      <c r="J117" s="143"/>
    </row>
    <row r="118" spans="1:10" x14ac:dyDescent="0.2">
      <c r="A118" s="169">
        <f t="shared" ref="A118:A129" si="6">A117+1</f>
        <v>501</v>
      </c>
      <c r="B118" s="212">
        <v>283</v>
      </c>
      <c r="C118" s="206" t="s">
        <v>268</v>
      </c>
      <c r="D118" s="213">
        <v>0</v>
      </c>
      <c r="E118" s="173"/>
      <c r="F118" s="173"/>
      <c r="G118" s="173"/>
      <c r="H118" s="173">
        <v>0</v>
      </c>
      <c r="I118" s="175" t="s">
        <v>205</v>
      </c>
      <c r="J118" s="143"/>
    </row>
    <row r="119" spans="1:10" x14ac:dyDescent="0.2">
      <c r="A119" s="169">
        <f t="shared" si="6"/>
        <v>502</v>
      </c>
      <c r="B119" s="212">
        <v>283</v>
      </c>
      <c r="C119" s="206" t="s">
        <v>269</v>
      </c>
      <c r="D119" s="213">
        <v>-75300360</v>
      </c>
      <c r="E119" s="173"/>
      <c r="F119" s="173"/>
      <c r="G119" s="173">
        <v>-75300360</v>
      </c>
      <c r="H119" s="173"/>
      <c r="I119" s="175" t="s">
        <v>215</v>
      </c>
      <c r="J119" s="143"/>
    </row>
    <row r="120" spans="1:10" x14ac:dyDescent="0.2">
      <c r="A120" s="169">
        <f t="shared" si="6"/>
        <v>503</v>
      </c>
      <c r="B120" s="212">
        <v>283</v>
      </c>
      <c r="C120" s="206" t="s">
        <v>270</v>
      </c>
      <c r="D120" s="213">
        <v>0</v>
      </c>
      <c r="E120" s="173">
        <v>0</v>
      </c>
      <c r="F120" s="173"/>
      <c r="G120" s="173">
        <v>0</v>
      </c>
      <c r="H120" s="173"/>
      <c r="I120" s="175" t="s">
        <v>202</v>
      </c>
      <c r="J120" s="143"/>
    </row>
    <row r="121" spans="1:10" x14ac:dyDescent="0.2">
      <c r="A121" s="169">
        <f t="shared" si="6"/>
        <v>504</v>
      </c>
      <c r="B121" s="212">
        <v>283</v>
      </c>
      <c r="C121" s="206" t="s">
        <v>271</v>
      </c>
      <c r="D121" s="213">
        <v>-75974102</v>
      </c>
      <c r="E121" s="173">
        <f>$G$200*D121</f>
        <v>-65680.082226571685</v>
      </c>
      <c r="F121" s="173"/>
      <c r="G121" s="173">
        <f>D121-E121</f>
        <v>-75908421.917773426</v>
      </c>
      <c r="H121" s="173"/>
      <c r="I121" s="175" t="s">
        <v>202</v>
      </c>
      <c r="J121" s="143"/>
    </row>
    <row r="122" spans="1:10" x14ac:dyDescent="0.2">
      <c r="A122" s="169">
        <f t="shared" si="6"/>
        <v>505</v>
      </c>
      <c r="B122" s="212">
        <v>283</v>
      </c>
      <c r="C122" s="206" t="s">
        <v>220</v>
      </c>
      <c r="D122" s="213">
        <v>0</v>
      </c>
      <c r="E122" s="173">
        <v>0</v>
      </c>
      <c r="F122" s="173"/>
      <c r="G122" s="173">
        <v>0</v>
      </c>
      <c r="H122" s="173"/>
      <c r="I122" s="175" t="s">
        <v>202</v>
      </c>
      <c r="J122" s="143"/>
    </row>
    <row r="123" spans="1:10" x14ac:dyDescent="0.2">
      <c r="A123" s="169">
        <f t="shared" si="6"/>
        <v>506</v>
      </c>
      <c r="B123" s="212">
        <v>283</v>
      </c>
      <c r="C123" s="206" t="s">
        <v>223</v>
      </c>
      <c r="D123" s="213">
        <v>-592736320</v>
      </c>
      <c r="E123" s="173">
        <v>-592736320</v>
      </c>
      <c r="F123" s="173"/>
      <c r="G123" s="173"/>
      <c r="H123" s="173"/>
      <c r="I123" s="175" t="s">
        <v>224</v>
      </c>
      <c r="J123" s="143"/>
    </row>
    <row r="124" spans="1:10" x14ac:dyDescent="0.2">
      <c r="A124" s="169">
        <f t="shared" si="6"/>
        <v>507</v>
      </c>
      <c r="B124" s="212">
        <v>283</v>
      </c>
      <c r="C124" s="206" t="s">
        <v>272</v>
      </c>
      <c r="D124" s="213">
        <v>0</v>
      </c>
      <c r="E124" s="173">
        <v>0</v>
      </c>
      <c r="F124" s="173"/>
      <c r="G124" s="173"/>
      <c r="H124" s="173"/>
      <c r="I124" s="175" t="s">
        <v>273</v>
      </c>
      <c r="J124" s="143"/>
    </row>
    <row r="125" spans="1:10" x14ac:dyDescent="0.2">
      <c r="A125" s="169">
        <f t="shared" si="6"/>
        <v>508</v>
      </c>
      <c r="B125" s="212">
        <v>283</v>
      </c>
      <c r="C125" s="206" t="s">
        <v>221</v>
      </c>
      <c r="D125" s="213">
        <f>-771930083+2198893</f>
        <v>-769731190</v>
      </c>
      <c r="E125" s="448">
        <f>-771930083+2198893</f>
        <v>-769731190</v>
      </c>
      <c r="F125" s="173"/>
      <c r="G125" s="173"/>
      <c r="H125" s="173"/>
      <c r="I125" s="175" t="s">
        <v>222</v>
      </c>
      <c r="J125" s="143"/>
    </row>
    <row r="126" spans="1:10" x14ac:dyDescent="0.2">
      <c r="A126" s="169">
        <f t="shared" si="6"/>
        <v>509</v>
      </c>
      <c r="B126" s="212">
        <v>283</v>
      </c>
      <c r="C126" s="206" t="s">
        <v>229</v>
      </c>
      <c r="D126" s="213">
        <v>0</v>
      </c>
      <c r="E126" s="448">
        <v>0</v>
      </c>
      <c r="F126" s="173"/>
      <c r="G126" s="173"/>
      <c r="H126" s="173"/>
      <c r="I126" s="175" t="s">
        <v>230</v>
      </c>
      <c r="J126" s="143"/>
    </row>
    <row r="127" spans="1:10" x14ac:dyDescent="0.2">
      <c r="A127" s="169">
        <f t="shared" si="6"/>
        <v>510</v>
      </c>
      <c r="B127" s="212">
        <v>283</v>
      </c>
      <c r="C127" s="206" t="s">
        <v>274</v>
      </c>
      <c r="D127" s="213">
        <v>0</v>
      </c>
      <c r="E127" s="448">
        <v>0</v>
      </c>
      <c r="F127" s="173"/>
      <c r="G127" s="173"/>
      <c r="H127" s="173"/>
      <c r="I127" s="175" t="s">
        <v>259</v>
      </c>
      <c r="J127" s="143"/>
    </row>
    <row r="128" spans="1:10" x14ac:dyDescent="0.2">
      <c r="A128" s="169">
        <f t="shared" si="6"/>
        <v>511</v>
      </c>
      <c r="B128" s="212">
        <v>283</v>
      </c>
      <c r="C128" s="206" t="s">
        <v>231</v>
      </c>
      <c r="D128" s="213">
        <v>-32119693</v>
      </c>
      <c r="E128" s="448">
        <v>-32119693</v>
      </c>
      <c r="F128" s="173"/>
      <c r="G128" s="173"/>
      <c r="H128" s="173"/>
      <c r="I128" s="175" t="s">
        <v>224</v>
      </c>
      <c r="J128" s="143"/>
    </row>
    <row r="129" spans="1:10" x14ac:dyDescent="0.2">
      <c r="A129" s="169">
        <f t="shared" si="6"/>
        <v>512</v>
      </c>
      <c r="B129" s="212">
        <v>283</v>
      </c>
      <c r="C129" s="206" t="s">
        <v>232</v>
      </c>
      <c r="D129" s="213">
        <v>-45471572</v>
      </c>
      <c r="E129" s="448">
        <v>-45471572</v>
      </c>
      <c r="F129" s="173"/>
      <c r="G129" s="173"/>
      <c r="H129" s="173"/>
      <c r="I129" s="175" t="s">
        <v>230</v>
      </c>
      <c r="J129" s="143"/>
    </row>
    <row r="130" spans="1:10" x14ac:dyDescent="0.2">
      <c r="A130" s="65"/>
      <c r="B130" s="214"/>
      <c r="C130" s="215"/>
      <c r="D130" s="216"/>
      <c r="E130" s="456"/>
      <c r="F130" s="184"/>
      <c r="G130" s="184"/>
      <c r="H130" s="184"/>
      <c r="I130" s="142"/>
      <c r="J130" s="142"/>
    </row>
    <row r="131" spans="1:10" x14ac:dyDescent="0.2">
      <c r="A131" s="65"/>
      <c r="B131" s="145" t="s">
        <v>275</v>
      </c>
      <c r="C131" s="209"/>
      <c r="D131" s="188"/>
      <c r="E131" s="457"/>
      <c r="F131" s="187"/>
      <c r="G131" s="187"/>
      <c r="H131" s="187"/>
      <c r="I131" s="144"/>
      <c r="J131" s="142"/>
    </row>
    <row r="132" spans="1:10" x14ac:dyDescent="0.2">
      <c r="A132" s="65"/>
      <c r="B132" s="145"/>
      <c r="C132" s="129" t="s">
        <v>167</v>
      </c>
      <c r="D132" s="458" t="s">
        <v>168</v>
      </c>
      <c r="E132" s="458" t="s">
        <v>184</v>
      </c>
      <c r="F132" s="129" t="s">
        <v>185</v>
      </c>
      <c r="G132" s="129" t="s">
        <v>186</v>
      </c>
      <c r="H132" s="129" t="s">
        <v>187</v>
      </c>
      <c r="I132" s="129" t="s">
        <v>188</v>
      </c>
      <c r="J132" s="142"/>
    </row>
    <row r="133" spans="1:10" x14ac:dyDescent="0.2">
      <c r="A133" s="65"/>
      <c r="B133" s="163"/>
      <c r="C133" s="163"/>
      <c r="D133" s="210" t="s">
        <v>189</v>
      </c>
      <c r="E133" s="210" t="s">
        <v>190</v>
      </c>
      <c r="F133" s="210"/>
      <c r="G133" s="210"/>
      <c r="H133" s="210" t="s">
        <v>191</v>
      </c>
      <c r="I133" s="167" t="s">
        <v>192</v>
      </c>
      <c r="J133" s="142"/>
    </row>
    <row r="134" spans="1:10" x14ac:dyDescent="0.2">
      <c r="A134" s="65"/>
      <c r="B134" s="168" t="s">
        <v>265</v>
      </c>
      <c r="C134" s="168" t="s">
        <v>194</v>
      </c>
      <c r="D134" s="210" t="s">
        <v>195</v>
      </c>
      <c r="E134" s="210" t="s">
        <v>196</v>
      </c>
      <c r="F134" s="211" t="s">
        <v>197</v>
      </c>
      <c r="G134" s="211" t="s">
        <v>198</v>
      </c>
      <c r="H134" s="211" t="s">
        <v>199</v>
      </c>
      <c r="I134" s="168" t="s">
        <v>6</v>
      </c>
      <c r="J134" s="142"/>
    </row>
    <row r="135" spans="1:10" x14ac:dyDescent="0.2">
      <c r="A135" s="65"/>
      <c r="B135" s="146" t="s">
        <v>276</v>
      </c>
      <c r="C135" s="163"/>
      <c r="D135" s="210"/>
      <c r="E135" s="210"/>
      <c r="F135" s="210"/>
      <c r="G135" s="210"/>
      <c r="H135" s="210"/>
      <c r="I135" s="163"/>
      <c r="J135" s="142"/>
    </row>
    <row r="136" spans="1:10" x14ac:dyDescent="0.2">
      <c r="A136" s="169">
        <f>A129+1</f>
        <v>513</v>
      </c>
      <c r="B136" s="170">
        <v>283</v>
      </c>
      <c r="C136" s="218" t="s">
        <v>213</v>
      </c>
      <c r="D136" s="219">
        <v>-2816194</v>
      </c>
      <c r="E136" s="450">
        <f>$G$192*D136</f>
        <v>-4908.5247809856892</v>
      </c>
      <c r="F136" s="174"/>
      <c r="G136" s="174"/>
      <c r="H136" s="174">
        <f>D136-E136</f>
        <v>-2811285.4752190141</v>
      </c>
      <c r="I136" s="143" t="s">
        <v>205</v>
      </c>
      <c r="J136" s="143"/>
    </row>
    <row r="137" spans="1:10" x14ac:dyDescent="0.2">
      <c r="A137" s="169">
        <f>A136+1</f>
        <v>514</v>
      </c>
      <c r="B137" s="170" t="s">
        <v>235</v>
      </c>
      <c r="C137" s="218"/>
      <c r="D137" s="219"/>
      <c r="E137" s="174"/>
      <c r="F137" s="174"/>
      <c r="G137" s="174"/>
      <c r="H137" s="174"/>
      <c r="I137" s="143"/>
      <c r="J137" s="143"/>
    </row>
    <row r="138" spans="1:10" x14ac:dyDescent="0.2">
      <c r="A138" s="65"/>
      <c r="B138" s="220"/>
      <c r="C138" s="83"/>
      <c r="D138" s="85"/>
      <c r="E138" s="184"/>
      <c r="F138" s="184"/>
      <c r="G138" s="184"/>
      <c r="H138" s="184"/>
      <c r="I138" s="142"/>
      <c r="J138" s="142"/>
    </row>
    <row r="139" spans="1:10" x14ac:dyDescent="0.2">
      <c r="A139" s="65">
        <v>650</v>
      </c>
      <c r="B139" s="83"/>
      <c r="C139" s="83" t="s">
        <v>277</v>
      </c>
      <c r="D139" s="85">
        <f>SUM(D117:D129)+SUM(D136:D136)</f>
        <v>-1594149431</v>
      </c>
      <c r="E139" s="85">
        <f>SUM(E117:E129)+SUM(E136:E136)</f>
        <v>-1440129363.6070075</v>
      </c>
      <c r="F139" s="85">
        <f>SUM(F117:F129)+SUM(F136:F136)</f>
        <v>0</v>
      </c>
      <c r="G139" s="85">
        <f>SUM(G117:G129)+SUM(G136:G136)</f>
        <v>-151208781.91777343</v>
      </c>
      <c r="H139" s="85">
        <f>SUM(H117:H129)+SUM(H136:H136)</f>
        <v>-2811285.4752190141</v>
      </c>
      <c r="I139" s="157" t="str">
        <f>"Sum of Above Lines beginning on Line "&amp;A117&amp;""</f>
        <v>Sum of Above Lines beginning on Line 500</v>
      </c>
      <c r="J139" s="144"/>
    </row>
    <row r="140" spans="1:10" x14ac:dyDescent="0.2">
      <c r="A140" s="65"/>
      <c r="B140" s="83"/>
      <c r="C140" s="83"/>
      <c r="D140" s="85"/>
      <c r="E140" s="85"/>
      <c r="F140" s="85"/>
      <c r="G140" s="85"/>
      <c r="H140" s="85"/>
      <c r="I140" s="201"/>
      <c r="J140" s="144"/>
    </row>
    <row r="141" spans="1:10" x14ac:dyDescent="0.2">
      <c r="A141" s="60"/>
      <c r="B141" s="182" t="s">
        <v>278</v>
      </c>
      <c r="C141" s="83"/>
      <c r="D141" s="85"/>
      <c r="E141" s="187"/>
      <c r="F141" s="187"/>
      <c r="G141" s="187"/>
      <c r="H141" s="187"/>
      <c r="I141" s="167" t="s">
        <v>192</v>
      </c>
      <c r="J141" s="144"/>
    </row>
    <row r="142" spans="1:10" x14ac:dyDescent="0.2">
      <c r="A142" s="60"/>
      <c r="C142" s="129" t="s">
        <v>167</v>
      </c>
      <c r="D142" s="129" t="s">
        <v>168</v>
      </c>
      <c r="E142" s="129" t="s">
        <v>184</v>
      </c>
      <c r="F142" s="129" t="s">
        <v>185</v>
      </c>
      <c r="G142" s="129" t="s">
        <v>186</v>
      </c>
      <c r="H142" s="129" t="s">
        <v>187</v>
      </c>
      <c r="I142" s="129" t="s">
        <v>188</v>
      </c>
      <c r="J142" s="144"/>
    </row>
    <row r="143" spans="1:10" x14ac:dyDescent="0.2">
      <c r="A143" s="169">
        <v>700</v>
      </c>
      <c r="B143" s="212">
        <v>283</v>
      </c>
      <c r="C143" s="206" t="s">
        <v>223</v>
      </c>
      <c r="D143" s="221">
        <v>0</v>
      </c>
      <c r="E143" s="173">
        <v>0</v>
      </c>
      <c r="F143" s="173"/>
      <c r="G143" s="173"/>
      <c r="H143" s="173"/>
      <c r="I143" s="175" t="s">
        <v>239</v>
      </c>
      <c r="J143" s="175"/>
    </row>
    <row r="144" spans="1:10" x14ac:dyDescent="0.2">
      <c r="A144" s="169">
        <f t="shared" ref="A144:A149" si="7">A143+1</f>
        <v>701</v>
      </c>
      <c r="B144" s="212">
        <v>283</v>
      </c>
      <c r="C144" s="206" t="s">
        <v>279</v>
      </c>
      <c r="D144" s="221">
        <v>0</v>
      </c>
      <c r="E144" s="173">
        <v>0</v>
      </c>
      <c r="F144" s="173"/>
      <c r="G144" s="173"/>
      <c r="H144" s="173"/>
      <c r="I144" s="175" t="s">
        <v>239</v>
      </c>
      <c r="J144" s="175"/>
    </row>
    <row r="145" spans="1:10" x14ac:dyDescent="0.2">
      <c r="A145" s="169">
        <f t="shared" si="7"/>
        <v>702</v>
      </c>
      <c r="B145" s="212">
        <v>283</v>
      </c>
      <c r="C145" s="206" t="s">
        <v>280</v>
      </c>
      <c r="D145" s="221">
        <v>-554535</v>
      </c>
      <c r="E145" s="173">
        <v>-554535</v>
      </c>
      <c r="F145" s="173"/>
      <c r="G145" s="173"/>
      <c r="H145" s="173"/>
      <c r="I145" s="175" t="s">
        <v>239</v>
      </c>
      <c r="J145" s="175"/>
    </row>
    <row r="146" spans="1:10" x14ac:dyDescent="0.2">
      <c r="A146" s="169">
        <f t="shared" si="7"/>
        <v>703</v>
      </c>
      <c r="B146" s="212">
        <v>283</v>
      </c>
      <c r="C146" s="206" t="s">
        <v>281</v>
      </c>
      <c r="D146" s="221">
        <v>0</v>
      </c>
      <c r="E146" s="173">
        <v>0</v>
      </c>
      <c r="F146" s="173"/>
      <c r="G146" s="173"/>
      <c r="H146" s="173"/>
      <c r="I146" s="175" t="s">
        <v>239</v>
      </c>
      <c r="J146" s="175"/>
    </row>
    <row r="147" spans="1:10" x14ac:dyDescent="0.2">
      <c r="A147" s="169">
        <f t="shared" si="7"/>
        <v>704</v>
      </c>
      <c r="B147" s="212">
        <v>283</v>
      </c>
      <c r="C147" s="206" t="s">
        <v>240</v>
      </c>
      <c r="D147" s="221">
        <v>0</v>
      </c>
      <c r="E147" s="173">
        <v>0</v>
      </c>
      <c r="F147" s="173"/>
      <c r="G147" s="173"/>
      <c r="H147" s="173"/>
      <c r="I147" s="175" t="s">
        <v>239</v>
      </c>
      <c r="J147" s="175"/>
    </row>
    <row r="148" spans="1:10" x14ac:dyDescent="0.2">
      <c r="A148" s="169">
        <f t="shared" si="7"/>
        <v>705</v>
      </c>
      <c r="B148" s="212">
        <v>283</v>
      </c>
      <c r="C148" s="206" t="s">
        <v>282</v>
      </c>
      <c r="D148" s="221">
        <v>0</v>
      </c>
      <c r="E148" s="173">
        <v>0</v>
      </c>
      <c r="F148" s="173"/>
      <c r="G148" s="173"/>
      <c r="H148" s="173"/>
      <c r="I148" s="175" t="s">
        <v>239</v>
      </c>
      <c r="J148" s="175"/>
    </row>
    <row r="149" spans="1:10" x14ac:dyDescent="0.2">
      <c r="A149" s="451">
        <f t="shared" si="7"/>
        <v>706</v>
      </c>
      <c r="B149" s="222" t="s">
        <v>235</v>
      </c>
      <c r="C149" s="206"/>
      <c r="D149" s="221"/>
      <c r="E149" s="448"/>
      <c r="F149" s="448"/>
      <c r="G149" s="448"/>
      <c r="H149" s="448"/>
      <c r="I149" s="459"/>
      <c r="J149" s="459"/>
    </row>
    <row r="150" spans="1:10" x14ac:dyDescent="0.2">
      <c r="A150" s="65"/>
      <c r="B150" s="214"/>
      <c r="C150" s="215"/>
      <c r="D150" s="216"/>
      <c r="E150" s="184"/>
      <c r="F150" s="184"/>
      <c r="G150" s="184"/>
      <c r="H150" s="184"/>
      <c r="I150" s="142"/>
      <c r="J150" s="142"/>
    </row>
    <row r="151" spans="1:10" x14ac:dyDescent="0.2">
      <c r="A151" s="65"/>
      <c r="B151" s="83"/>
      <c r="C151" s="129" t="s">
        <v>167</v>
      </c>
      <c r="D151" s="129" t="s">
        <v>168</v>
      </c>
      <c r="E151" s="129" t="s">
        <v>184</v>
      </c>
      <c r="F151" s="129" t="s">
        <v>185</v>
      </c>
      <c r="G151" s="129" t="s">
        <v>186</v>
      </c>
      <c r="H151" s="129" t="s">
        <v>187</v>
      </c>
      <c r="I151" s="150" t="s">
        <v>8</v>
      </c>
      <c r="J151" s="144"/>
    </row>
    <row r="152" spans="1:10" x14ac:dyDescent="0.2">
      <c r="A152" s="65">
        <v>800</v>
      </c>
      <c r="B152" s="144"/>
      <c r="C152" s="68" t="s">
        <v>283</v>
      </c>
      <c r="D152" s="85">
        <f>SUM(D143:D149)</f>
        <v>-554535</v>
      </c>
      <c r="E152" s="85">
        <f>SUM(E143:E149)</f>
        <v>-554535</v>
      </c>
      <c r="F152" s="85">
        <f>SUM(F143:F149)</f>
        <v>0</v>
      </c>
      <c r="G152" s="85">
        <f>SUM(G143:G149)</f>
        <v>0</v>
      </c>
      <c r="H152" s="85">
        <f>SUM(H143:H149)</f>
        <v>0</v>
      </c>
      <c r="I152" s="157" t="str">
        <f>"Sum of Above Lines beginning on Line "&amp;A143&amp;""</f>
        <v>Sum of Above Lines beginning on Line 700</v>
      </c>
      <c r="J152" s="144"/>
    </row>
    <row r="153" spans="1:10" x14ac:dyDescent="0.2">
      <c r="A153" s="65"/>
      <c r="B153" s="144"/>
      <c r="C153" s="68"/>
      <c r="D153" s="85"/>
      <c r="E153" s="85"/>
      <c r="F153" s="85"/>
      <c r="G153" s="85"/>
      <c r="H153" s="85"/>
      <c r="I153" s="157"/>
      <c r="J153" s="144"/>
    </row>
    <row r="154" spans="1:10" x14ac:dyDescent="0.2">
      <c r="A154" s="65">
        <f>A152+1</f>
        <v>801</v>
      </c>
      <c r="B154" s="144"/>
      <c r="C154" s="68" t="s">
        <v>284</v>
      </c>
      <c r="D154" s="85">
        <f>D139+D152</f>
        <v>-1594703966</v>
      </c>
      <c r="E154" s="85">
        <f>E139+E152</f>
        <v>-1440683898.6070075</v>
      </c>
      <c r="F154" s="85">
        <f>F139+F152</f>
        <v>0</v>
      </c>
      <c r="G154" s="85">
        <f>G139+G152</f>
        <v>-151208781.91777343</v>
      </c>
      <c r="H154" s="85">
        <f>H139+H152</f>
        <v>-2811285.4752190141</v>
      </c>
      <c r="I154" s="192" t="str">
        <f>"Line "&amp;A139&amp;" + Line "&amp;A152&amp;""</f>
        <v>Line 650 + Line 800</v>
      </c>
      <c r="J154" s="144"/>
    </row>
    <row r="155" spans="1:10" x14ac:dyDescent="0.2">
      <c r="A155" s="191">
        <f>+A154+1</f>
        <v>802</v>
      </c>
      <c r="B155" s="146"/>
      <c r="C155" s="146" t="s">
        <v>243</v>
      </c>
      <c r="D155" s="223"/>
      <c r="E155" s="223"/>
      <c r="F155" s="188"/>
      <c r="G155" s="455">
        <v>0.16535211833830871</v>
      </c>
      <c r="H155" s="455">
        <v>4.2450573372571437E-2</v>
      </c>
      <c r="I155" s="194" t="s">
        <v>762</v>
      </c>
      <c r="J155" s="144"/>
    </row>
    <row r="156" spans="1:10" x14ac:dyDescent="0.2">
      <c r="A156" s="191">
        <f>+A155+1</f>
        <v>803</v>
      </c>
      <c r="B156" s="146"/>
      <c r="C156" s="146" t="s">
        <v>285</v>
      </c>
      <c r="D156" s="196">
        <f>SUM(F156:H156)</f>
        <v>-25122033.081796214</v>
      </c>
      <c r="E156" s="188"/>
      <c r="F156" s="195">
        <f>+F154</f>
        <v>0</v>
      </c>
      <c r="G156" s="195">
        <f>+G154*G155</f>
        <v>-25002692.401459184</v>
      </c>
      <c r="H156" s="460">
        <f>+H154*H155</f>
        <v>-119340.68033702912</v>
      </c>
      <c r="I156" s="192" t="str">
        <f>"Line "&amp;A154&amp;" * Line "&amp;A155&amp;" for Cols 5 and 6.  Col. 4 100% ISO."</f>
        <v>Line 801 * Line 802 for Cols 5 and 6.  Col. 4 100% ISO.</v>
      </c>
      <c r="J156" s="144"/>
    </row>
    <row r="157" spans="1:10" x14ac:dyDescent="0.2">
      <c r="A157" s="65"/>
      <c r="B157" s="144"/>
      <c r="C157" s="197" t="s">
        <v>245</v>
      </c>
      <c r="D157" s="85"/>
      <c r="E157" s="85"/>
      <c r="F157" s="85"/>
      <c r="G157" s="85"/>
      <c r="H157" s="85"/>
      <c r="I157" s="192"/>
      <c r="J157" s="187"/>
    </row>
    <row r="158" spans="1:10" x14ac:dyDescent="0.2">
      <c r="A158" s="65"/>
      <c r="B158" s="144"/>
      <c r="C158" s="68"/>
      <c r="D158" s="85"/>
      <c r="E158" s="85"/>
      <c r="F158" s="85"/>
      <c r="G158" s="85"/>
      <c r="H158" s="85"/>
      <c r="I158" s="192"/>
      <c r="J158" s="144"/>
    </row>
    <row r="159" spans="1:10" x14ac:dyDescent="0.2">
      <c r="A159" s="65">
        <f>A156+1</f>
        <v>804</v>
      </c>
      <c r="C159" s="146" t="s">
        <v>286</v>
      </c>
      <c r="D159" s="198">
        <v>-1594703966</v>
      </c>
      <c r="E159" s="199" t="str">
        <f>"Must match amount on Line "&amp;A154&amp;", Col. 2"</f>
        <v>Must match amount on Line 801, Col. 2</v>
      </c>
      <c r="F159" s="188"/>
      <c r="G159" s="188"/>
      <c r="H159" s="188"/>
      <c r="I159" s="157" t="s">
        <v>287</v>
      </c>
    </row>
    <row r="160" spans="1:10" x14ac:dyDescent="0.2">
      <c r="A160" s="124"/>
      <c r="B160" s="224"/>
      <c r="C160" s="224"/>
      <c r="D160" s="224"/>
      <c r="E160" s="224"/>
      <c r="F160" s="224"/>
      <c r="G160" s="224"/>
      <c r="H160" s="224"/>
      <c r="I160" s="225"/>
      <c r="J160" s="224"/>
    </row>
    <row r="161" spans="1:10" x14ac:dyDescent="0.2">
      <c r="A161" s="124"/>
      <c r="B161" s="145" t="s">
        <v>288</v>
      </c>
      <c r="C161" s="224"/>
      <c r="D161" s="224"/>
      <c r="E161" s="224"/>
      <c r="F161" s="224"/>
      <c r="G161" s="224"/>
      <c r="H161" s="224"/>
      <c r="I161" s="224"/>
      <c r="J161" s="224"/>
    </row>
    <row r="162" spans="1:10" x14ac:dyDescent="0.2">
      <c r="A162" s="124"/>
      <c r="B162" s="145"/>
      <c r="C162" s="224"/>
      <c r="D162" s="224"/>
      <c r="E162" s="224"/>
      <c r="F162" s="224"/>
      <c r="G162" s="224"/>
      <c r="H162" s="224"/>
      <c r="I162" s="224"/>
      <c r="J162" s="224"/>
    </row>
    <row r="163" spans="1:10" x14ac:dyDescent="0.2">
      <c r="A163" s="65"/>
      <c r="B163" s="145"/>
      <c r="C163" s="129" t="s">
        <v>167</v>
      </c>
      <c r="D163" s="129" t="s">
        <v>168</v>
      </c>
      <c r="E163" s="129" t="s">
        <v>184</v>
      </c>
      <c r="F163" s="129" t="s">
        <v>185</v>
      </c>
      <c r="G163" s="129" t="s">
        <v>186</v>
      </c>
      <c r="H163" s="129" t="s">
        <v>187</v>
      </c>
      <c r="I163" s="129" t="s">
        <v>188</v>
      </c>
      <c r="J163" s="224"/>
    </row>
    <row r="164" spans="1:10" x14ac:dyDescent="0.2">
      <c r="A164" s="65"/>
      <c r="B164" s="163"/>
      <c r="C164" s="163"/>
      <c r="D164" s="210" t="s">
        <v>189</v>
      </c>
      <c r="E164" s="210" t="s">
        <v>190</v>
      </c>
      <c r="F164" s="210"/>
      <c r="G164" s="210"/>
      <c r="H164" s="210" t="s">
        <v>191</v>
      </c>
      <c r="I164" s="144"/>
      <c r="J164" s="224"/>
    </row>
    <row r="165" spans="1:10" x14ac:dyDescent="0.2">
      <c r="A165" s="65"/>
      <c r="B165" s="168" t="s">
        <v>289</v>
      </c>
      <c r="C165" s="226" t="s">
        <v>176</v>
      </c>
      <c r="D165" s="211" t="s">
        <v>195</v>
      </c>
      <c r="E165" s="211" t="s">
        <v>196</v>
      </c>
      <c r="F165" s="211" t="s">
        <v>197</v>
      </c>
      <c r="G165" s="211" t="s">
        <v>198</v>
      </c>
      <c r="H165" s="211" t="s">
        <v>199</v>
      </c>
      <c r="I165" s="168" t="s">
        <v>6</v>
      </c>
      <c r="J165" s="224"/>
    </row>
    <row r="166" spans="1:10" x14ac:dyDescent="0.2">
      <c r="A166" s="124"/>
      <c r="B166" s="224"/>
      <c r="C166" s="224"/>
      <c r="D166" s="224"/>
      <c r="E166" s="224"/>
      <c r="F166" s="224"/>
      <c r="G166" s="224"/>
      <c r="H166" s="224"/>
      <c r="I166" s="224"/>
      <c r="J166" s="224"/>
    </row>
    <row r="167" spans="1:10" x14ac:dyDescent="0.2">
      <c r="A167" s="65">
        <f>A159+1</f>
        <v>805</v>
      </c>
      <c r="B167" s="227">
        <v>236</v>
      </c>
      <c r="C167" s="68" t="s">
        <v>290</v>
      </c>
      <c r="D167" s="160">
        <v>-330880086</v>
      </c>
      <c r="E167" s="160"/>
      <c r="F167" s="160"/>
      <c r="G167" s="160"/>
      <c r="H167" s="107"/>
      <c r="I167" s="70" t="s">
        <v>291</v>
      </c>
      <c r="J167" s="68"/>
    </row>
    <row r="168" spans="1:10" x14ac:dyDescent="0.2">
      <c r="A168" s="65">
        <f>A167+1</f>
        <v>806</v>
      </c>
      <c r="B168" s="227"/>
      <c r="C168" s="68" t="s">
        <v>292</v>
      </c>
      <c r="D168" s="160">
        <v>-1225165</v>
      </c>
      <c r="E168" s="160"/>
      <c r="F168" s="160"/>
      <c r="G168" s="160"/>
      <c r="H168" s="107"/>
      <c r="I168" s="70" t="s">
        <v>293</v>
      </c>
      <c r="J168" s="68"/>
    </row>
    <row r="169" spans="1:10" x14ac:dyDescent="0.2">
      <c r="A169" s="65">
        <f t="shared" ref="A169:A170" si="8">A168+1</f>
        <v>807</v>
      </c>
      <c r="B169" s="227"/>
      <c r="C169" s="68" t="s">
        <v>294</v>
      </c>
      <c r="D169" s="152">
        <f>D167+D168</f>
        <v>-332105251</v>
      </c>
      <c r="G169" s="152"/>
      <c r="H169" s="68"/>
      <c r="I169" s="192" t="str">
        <f>"Line "&amp;A167&amp;" + Line "&amp;A168&amp;""</f>
        <v>Line 805 + Line 806</v>
      </c>
      <c r="J169" s="68"/>
    </row>
    <row r="170" spans="1:10" x14ac:dyDescent="0.2">
      <c r="A170" s="65">
        <f t="shared" si="8"/>
        <v>808</v>
      </c>
      <c r="B170" s="224"/>
      <c r="C170" s="146" t="s">
        <v>295</v>
      </c>
      <c r="D170" s="228"/>
      <c r="E170" s="152"/>
      <c r="F170" s="152"/>
      <c r="G170" s="455">
        <v>0.16535211833830871</v>
      </c>
      <c r="H170" s="229"/>
      <c r="I170" s="225" t="s">
        <v>296</v>
      </c>
      <c r="J170" s="124"/>
    </row>
    <row r="171" spans="1:10" x14ac:dyDescent="0.2">
      <c r="A171" s="65">
        <f>+A170+1</f>
        <v>809</v>
      </c>
      <c r="B171" s="208"/>
      <c r="C171" s="124" t="s">
        <v>176</v>
      </c>
      <c r="D171" s="188">
        <f>E171+G171</f>
        <v>332105251</v>
      </c>
      <c r="E171" s="195">
        <f>-(D169+G171)</f>
        <v>277190944.2358743</v>
      </c>
      <c r="F171" s="195"/>
      <c r="G171" s="195">
        <f>-(D169*G170)</f>
        <v>54914306.76412572</v>
      </c>
      <c r="H171" s="195"/>
      <c r="I171" s="192" t="str">
        <f>"- Line "&amp;A169&amp;" * Line "&amp;A170&amp;""</f>
        <v>- Line 807 * Line 808</v>
      </c>
      <c r="J171" s="124"/>
    </row>
    <row r="172" spans="1:10" x14ac:dyDescent="0.2">
      <c r="A172" s="191"/>
      <c r="B172" s="146"/>
      <c r="C172" s="230" t="s">
        <v>297</v>
      </c>
      <c r="D172" s="188"/>
      <c r="E172" s="188"/>
      <c r="F172" s="188"/>
      <c r="G172" s="231"/>
      <c r="H172" s="231"/>
      <c r="I172" s="232" t="s">
        <v>298</v>
      </c>
      <c r="J172" s="224"/>
    </row>
    <row r="173" spans="1:10" x14ac:dyDescent="0.2">
      <c r="A173" s="65"/>
      <c r="B173" s="208"/>
      <c r="C173" s="197"/>
      <c r="D173" s="188"/>
      <c r="E173" s="188"/>
      <c r="F173" s="188"/>
      <c r="G173" s="188"/>
      <c r="H173" s="188"/>
      <c r="I173" s="224"/>
      <c r="J173" s="224"/>
    </row>
    <row r="174" spans="1:10" x14ac:dyDescent="0.2">
      <c r="A174" s="124"/>
      <c r="B174" s="224"/>
      <c r="C174" s="233" t="s">
        <v>299</v>
      </c>
      <c r="D174" s="224"/>
      <c r="E174" s="224"/>
      <c r="F174" s="224"/>
      <c r="G174" s="224"/>
      <c r="H174" s="224"/>
      <c r="I174" s="224"/>
      <c r="J174" s="224"/>
    </row>
    <row r="175" spans="1:10" x14ac:dyDescent="0.2">
      <c r="B175"/>
      <c r="C175" s="109" t="s">
        <v>300</v>
      </c>
      <c r="D175" s="235"/>
      <c r="E175" s="235"/>
      <c r="F175" s="235"/>
      <c r="G175" s="235"/>
      <c r="H175"/>
      <c r="I175"/>
      <c r="J175"/>
    </row>
    <row r="176" spans="1:10" x14ac:dyDescent="0.2">
      <c r="B176"/>
      <c r="C176" s="109" t="s">
        <v>301</v>
      </c>
      <c r="D176" s="235"/>
      <c r="E176" s="235"/>
      <c r="F176" s="235"/>
      <c r="G176" s="235"/>
      <c r="H176"/>
      <c r="I176"/>
      <c r="J176"/>
    </row>
    <row r="177" spans="2:10" x14ac:dyDescent="0.2">
      <c r="B177"/>
      <c r="C177" s="109" t="s">
        <v>302</v>
      </c>
      <c r="D177" s="235"/>
      <c r="E177" s="235"/>
      <c r="F177" s="235"/>
      <c r="G177" s="235"/>
      <c r="H177"/>
      <c r="I177"/>
      <c r="J177"/>
    </row>
    <row r="178" spans="2:10" x14ac:dyDescent="0.2">
      <c r="B178"/>
      <c r="C178" s="142" t="s">
        <v>763</v>
      </c>
      <c r="D178" s="235"/>
      <c r="E178" s="235"/>
      <c r="F178" s="235"/>
      <c r="G178" s="235"/>
      <c r="H178"/>
      <c r="I178"/>
      <c r="J178"/>
    </row>
    <row r="179" spans="2:10" x14ac:dyDescent="0.2">
      <c r="B179"/>
      <c r="C179" s="142" t="s">
        <v>303</v>
      </c>
      <c r="D179" s="235"/>
      <c r="E179" s="235"/>
      <c r="F179" s="235"/>
      <c r="G179" s="235"/>
      <c r="H179"/>
      <c r="I179"/>
      <c r="J179"/>
    </row>
    <row r="180" spans="2:10" x14ac:dyDescent="0.2">
      <c r="B180"/>
      <c r="C180" s="142" t="s">
        <v>304</v>
      </c>
      <c r="D180" s="142"/>
      <c r="E180" s="142"/>
      <c r="F180" s="142"/>
      <c r="G180" s="142"/>
      <c r="J180"/>
    </row>
    <row r="181" spans="2:10" x14ac:dyDescent="0.2">
      <c r="B181"/>
      <c r="C181" s="142" t="s">
        <v>305</v>
      </c>
      <c r="D181" s="142"/>
      <c r="E181" s="142"/>
      <c r="F181" s="142"/>
      <c r="G181" s="142"/>
      <c r="J181"/>
    </row>
    <row r="182" spans="2:10" x14ac:dyDescent="0.2">
      <c r="B182"/>
      <c r="C182" s="142"/>
      <c r="D182" s="142"/>
      <c r="E182" s="142"/>
      <c r="F182" s="142"/>
      <c r="G182" s="142"/>
      <c r="J182"/>
    </row>
    <row r="183" spans="2:10" x14ac:dyDescent="0.2">
      <c r="B183"/>
      <c r="C183" s="142" t="s">
        <v>306</v>
      </c>
      <c r="D183" s="142"/>
      <c r="E183" s="142"/>
      <c r="F183" s="142"/>
      <c r="G183" s="142"/>
      <c r="J183"/>
    </row>
    <row r="184" spans="2:10" x14ac:dyDescent="0.2">
      <c r="B184"/>
      <c r="C184" s="142" t="s">
        <v>307</v>
      </c>
      <c r="D184" s="142"/>
      <c r="E184" s="142"/>
      <c r="F184" s="142"/>
      <c r="G184" s="142"/>
      <c r="J184"/>
    </row>
    <row r="185" spans="2:10" x14ac:dyDescent="0.2">
      <c r="B185"/>
      <c r="C185" s="142" t="s">
        <v>308</v>
      </c>
      <c r="D185" s="142"/>
      <c r="E185" s="142"/>
      <c r="F185" s="142"/>
      <c r="G185" s="142"/>
      <c r="J185"/>
    </row>
    <row r="186" spans="2:10" x14ac:dyDescent="0.2">
      <c r="B186"/>
      <c r="C186" s="57"/>
      <c r="D186" s="57"/>
      <c r="E186" s="65" t="s">
        <v>49</v>
      </c>
      <c r="F186" s="57"/>
      <c r="G186" s="103" t="s">
        <v>309</v>
      </c>
      <c r="J186"/>
    </row>
    <row r="187" spans="2:10" x14ac:dyDescent="0.2">
      <c r="B187"/>
      <c r="C187" s="57"/>
      <c r="D187" s="57"/>
      <c r="E187" s="101" t="s">
        <v>54</v>
      </c>
      <c r="F187" s="57"/>
      <c r="G187" s="101" t="s">
        <v>310</v>
      </c>
      <c r="J187"/>
    </row>
    <row r="188" spans="2:10" ht="15" x14ac:dyDescent="0.25">
      <c r="B188"/>
      <c r="C188" s="236" t="s">
        <v>311</v>
      </c>
      <c r="D188" s="237"/>
      <c r="E188" s="68" t="s">
        <v>312</v>
      </c>
      <c r="F188" s="237"/>
      <c r="G188" s="238">
        <v>959389495</v>
      </c>
      <c r="I188" s="239"/>
      <c r="J188"/>
    </row>
    <row r="189" spans="2:10" ht="15" x14ac:dyDescent="0.25">
      <c r="B189"/>
      <c r="C189" s="240" t="s">
        <v>313</v>
      </c>
      <c r="D189" s="237"/>
      <c r="E189" s="68" t="s">
        <v>314</v>
      </c>
      <c r="F189" s="237"/>
      <c r="G189" s="241">
        <v>652970</v>
      </c>
      <c r="I189" s="239"/>
      <c r="J189"/>
    </row>
    <row r="190" spans="2:10" ht="15" x14ac:dyDescent="0.25">
      <c r="B190"/>
      <c r="C190" s="240" t="s">
        <v>315</v>
      </c>
      <c r="D190" s="237"/>
      <c r="E190" s="68" t="s">
        <v>316</v>
      </c>
      <c r="F190" s="237"/>
      <c r="G190" s="242">
        <v>1022131</v>
      </c>
      <c r="I190" s="239"/>
      <c r="J190"/>
    </row>
    <row r="191" spans="2:10" ht="15" x14ac:dyDescent="0.25">
      <c r="B191"/>
      <c r="C191" s="236" t="s">
        <v>317</v>
      </c>
      <c r="D191" s="237"/>
      <c r="E191" s="68" t="s">
        <v>318</v>
      </c>
      <c r="F191" s="237"/>
      <c r="G191" s="243">
        <f>SUM(G188:G190)</f>
        <v>961064596</v>
      </c>
      <c r="J191"/>
    </row>
    <row r="192" spans="2:10" x14ac:dyDescent="0.2">
      <c r="B192"/>
      <c r="C192" s="71" t="s">
        <v>319</v>
      </c>
      <c r="D192" s="57"/>
      <c r="E192" s="244" t="s">
        <v>320</v>
      </c>
      <c r="F192" s="57"/>
      <c r="G192" s="113">
        <f>(G189+G190)/G191</f>
        <v>1.7429640078011988E-3</v>
      </c>
      <c r="J192"/>
    </row>
    <row r="193" spans="2:10" x14ac:dyDescent="0.2">
      <c r="B193"/>
      <c r="C193" s="245" t="s">
        <v>321</v>
      </c>
      <c r="D193" s="235"/>
      <c r="E193" s="235"/>
      <c r="F193" s="235"/>
      <c r="G193" s="235"/>
      <c r="J193"/>
    </row>
    <row r="194" spans="2:10" x14ac:dyDescent="0.2">
      <c r="B194"/>
      <c r="C194" s="57"/>
      <c r="D194" s="57"/>
      <c r="E194" s="65" t="s">
        <v>49</v>
      </c>
      <c r="F194" s="57"/>
      <c r="G194" s="103" t="s">
        <v>309</v>
      </c>
      <c r="J194"/>
    </row>
    <row r="195" spans="2:10" x14ac:dyDescent="0.2">
      <c r="B195"/>
      <c r="C195" s="57"/>
      <c r="D195" s="57"/>
      <c r="E195" s="101" t="s">
        <v>54</v>
      </c>
      <c r="F195" s="57"/>
      <c r="G195" s="101" t="s">
        <v>310</v>
      </c>
      <c r="J195"/>
    </row>
    <row r="196" spans="2:10" ht="15" x14ac:dyDescent="0.25">
      <c r="B196"/>
      <c r="C196" s="70" t="s">
        <v>322</v>
      </c>
      <c r="D196" s="237"/>
      <c r="E196" s="237" t="s">
        <v>323</v>
      </c>
      <c r="F196" s="237"/>
      <c r="G196" s="238">
        <v>35785126920</v>
      </c>
      <c r="I196" s="239"/>
      <c r="J196"/>
    </row>
    <row r="197" spans="2:10" ht="15" x14ac:dyDescent="0.25">
      <c r="B197"/>
      <c r="C197" s="240" t="s">
        <v>324</v>
      </c>
      <c r="D197" s="237"/>
      <c r="E197" s="237" t="s">
        <v>325</v>
      </c>
      <c r="F197" s="237"/>
      <c r="G197" s="241">
        <v>4104070</v>
      </c>
      <c r="J197"/>
    </row>
    <row r="198" spans="2:10" ht="15" x14ac:dyDescent="0.25">
      <c r="B198"/>
      <c r="C198" s="240" t="s">
        <v>326</v>
      </c>
      <c r="D198" s="237"/>
      <c r="E198" s="237" t="s">
        <v>327</v>
      </c>
      <c r="F198" s="237"/>
      <c r="G198" s="241">
        <v>26859162</v>
      </c>
      <c r="I198" s="239"/>
      <c r="J198"/>
    </row>
    <row r="199" spans="2:10" ht="15" x14ac:dyDescent="0.25">
      <c r="B199"/>
      <c r="C199" s="70" t="s">
        <v>328</v>
      </c>
      <c r="D199" s="237"/>
      <c r="E199" s="68" t="s">
        <v>329</v>
      </c>
      <c r="F199" s="237"/>
      <c r="G199" s="243">
        <f>SUM(G196:G198)</f>
        <v>35816090152</v>
      </c>
      <c r="H199" s="235"/>
      <c r="I199" s="235"/>
      <c r="J199" s="57"/>
    </row>
    <row r="200" spans="2:10" x14ac:dyDescent="0.2">
      <c r="B200"/>
      <c r="C200" s="71" t="s">
        <v>330</v>
      </c>
      <c r="D200" s="57"/>
      <c r="E200" s="244" t="s">
        <v>331</v>
      </c>
      <c r="F200" s="57"/>
      <c r="G200" s="113">
        <f>(G197+G198)/G199</f>
        <v>8.6450620010713227E-4</v>
      </c>
      <c r="H200" s="235"/>
      <c r="I200" s="235"/>
      <c r="J200" s="57"/>
    </row>
    <row r="201" spans="2:10" x14ac:dyDescent="0.2">
      <c r="B201"/>
      <c r="C201" s="142" t="s">
        <v>332</v>
      </c>
      <c r="D201" s="235"/>
      <c r="E201" s="235"/>
      <c r="F201" s="235"/>
      <c r="G201" s="235"/>
      <c r="H201" s="235"/>
      <c r="I201" s="235"/>
      <c r="J201" s="57"/>
    </row>
    <row r="202" spans="2:10" x14ac:dyDescent="0.2">
      <c r="B202"/>
      <c r="C202" s="142" t="s">
        <v>333</v>
      </c>
      <c r="D202" s="235"/>
      <c r="E202" s="235"/>
      <c r="F202" s="235"/>
      <c r="G202" s="235"/>
      <c r="H202" s="235"/>
      <c r="I202" s="235"/>
      <c r="J202" s="57"/>
    </row>
    <row r="203" spans="2:10" x14ac:dyDescent="0.2">
      <c r="B203"/>
      <c r="C203" s="142" t="s">
        <v>334</v>
      </c>
      <c r="D203" s="235"/>
      <c r="E203" s="235"/>
      <c r="F203" s="235"/>
      <c r="G203" s="235"/>
      <c r="H203" s="235"/>
      <c r="I203" s="235"/>
      <c r="J203" s="57"/>
    </row>
    <row r="204" spans="2:10" x14ac:dyDescent="0.2">
      <c r="B204"/>
      <c r="C204" s="142" t="s">
        <v>335</v>
      </c>
      <c r="D204" s="235"/>
      <c r="E204" s="235"/>
      <c r="F204" s="235"/>
      <c r="G204" s="235"/>
      <c r="H204" s="235"/>
      <c r="I204" s="235"/>
      <c r="J204" s="57"/>
    </row>
    <row r="205" spans="2:10" x14ac:dyDescent="0.2">
      <c r="C205" s="68" t="s">
        <v>336</v>
      </c>
      <c r="D205" s="246"/>
      <c r="E205" s="246"/>
      <c r="F205" s="246"/>
      <c r="G205" s="246"/>
      <c r="H205" s="246"/>
      <c r="I205" s="246"/>
      <c r="J205" s="235"/>
    </row>
    <row r="208" spans="2:10" ht="15.75" x14ac:dyDescent="0.25">
      <c r="C208" s="247"/>
    </row>
  </sheetData>
  <protectedRanges>
    <protectedRange password="F1C4" sqref="D20:E30 F32:F33 F25:F30 F45 E15:E19 D14:D15 D17:D18 B14:C30 I61 B13 F20 J32:J35 B7:C12 I136:I137" name="AAReport1_23_1_1_2"/>
    <protectedRange password="F1C4" sqref="D19" name="AAReport1_23_1_1_1_1"/>
  </protectedRanges>
  <mergeCells count="1">
    <mergeCell ref="I50:J50"/>
  </mergeCells>
  <conditionalFormatting sqref="B130 D117:D130 B143:B150 D143:D150">
    <cfRule type="expression" dxfId="2" priority="2" stopIfTrue="1">
      <formula>Formulas</formula>
    </cfRule>
  </conditionalFormatting>
  <conditionalFormatting sqref="B117:B129 D136:D137">
    <cfRule type="expression" dxfId="1" priority="3" stopIfTrue="1">
      <formula>Formulas</formula>
    </cfRule>
  </conditionalFormatting>
  <conditionalFormatting sqref="C136:C137 C117:C130 C143:C150">
    <cfRule type="expression" dxfId="0" priority="1" stopIfTrue="1">
      <formula>#REF!&lt;&gt;""</formula>
    </cfRule>
  </conditionalFormatting>
  <pageMargins left="0.75" right="0.75" top="1" bottom="1" header="0.5" footer="0.5"/>
  <pageSetup scale="65" orientation="landscape" cellComments="asDisplayed" r:id="rId1"/>
  <headerFooter alignWithMargins="0">
    <oddHeader>&amp;CSchedule 9
ADIT
(Revised 2013 True Up TRR)&amp;RTO10 Draft Annual Update
Attachment 4
WP-Schedule 3-One Time Adj &amp; True Up Adj
Page &amp;P of &amp;N</oddHeader>
    <oddFooter>&amp;R&amp;A</oddFooter>
  </headerFooter>
  <rowBreaks count="4" manualBreakCount="4">
    <brk id="24" max="16383" man="1"/>
    <brk id="64" max="16383" man="1"/>
    <brk id="109" max="9" man="1"/>
    <brk id="15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M428"/>
  <sheetViews>
    <sheetView zoomScaleNormal="100" workbookViewId="0"/>
  </sheetViews>
  <sheetFormatPr defaultRowHeight="12.75" x14ac:dyDescent="0.2"/>
  <cols>
    <col min="1" max="1" width="4.7109375" style="57"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57" bestFit="1" customWidth="1"/>
    <col min="13" max="13" width="13.140625" bestFit="1" customWidth="1"/>
  </cols>
  <sheetData>
    <row r="1" spans="1:12" x14ac:dyDescent="0.2">
      <c r="A1" s="79" t="s">
        <v>416</v>
      </c>
      <c r="K1" s="56"/>
    </row>
    <row r="2" spans="1:12" x14ac:dyDescent="0.2">
      <c r="A2" s="79"/>
      <c r="K2" s="56"/>
    </row>
    <row r="3" spans="1:12" x14ac:dyDescent="0.2">
      <c r="A3" s="79"/>
      <c r="B3" s="124" t="s">
        <v>415</v>
      </c>
      <c r="K3" s="56"/>
    </row>
    <row r="4" spans="1:12" x14ac:dyDescent="0.2">
      <c r="B4" s="124" t="s">
        <v>414</v>
      </c>
      <c r="K4" s="56"/>
      <c r="L4" s="68"/>
    </row>
    <row r="5" spans="1:12" x14ac:dyDescent="0.2">
      <c r="B5" s="124"/>
      <c r="K5" s="56"/>
    </row>
    <row r="6" spans="1:12" x14ac:dyDescent="0.2">
      <c r="A6" s="68"/>
      <c r="B6" s="56" t="s">
        <v>413</v>
      </c>
      <c r="K6" s="56"/>
    </row>
    <row r="7" spans="1:12" x14ac:dyDescent="0.2">
      <c r="A7" s="68"/>
      <c r="B7" s="56"/>
      <c r="D7" s="129" t="s">
        <v>167</v>
      </c>
      <c r="E7" s="129" t="s">
        <v>168</v>
      </c>
      <c r="F7" s="129" t="s">
        <v>184</v>
      </c>
      <c r="G7" s="129" t="s">
        <v>185</v>
      </c>
      <c r="H7" s="129" t="s">
        <v>186</v>
      </c>
      <c r="I7" s="129" t="s">
        <v>187</v>
      </c>
      <c r="J7" s="314"/>
      <c r="K7" s="56"/>
      <c r="L7" s="314"/>
    </row>
    <row r="8" spans="1:12" x14ac:dyDescent="0.2">
      <c r="D8" s="208" t="s">
        <v>412</v>
      </c>
      <c r="J8" s="57"/>
      <c r="K8" s="57"/>
    </row>
    <row r="9" spans="1:12" x14ac:dyDescent="0.2">
      <c r="D9" s="313" t="s">
        <v>411</v>
      </c>
      <c r="J9" s="57"/>
      <c r="K9" s="57"/>
    </row>
    <row r="10" spans="1:12" x14ac:dyDescent="0.2">
      <c r="B10" s="60"/>
      <c r="J10" s="57"/>
      <c r="K10" s="57"/>
    </row>
    <row r="11" spans="1:12" x14ac:dyDescent="0.2">
      <c r="B11" s="60"/>
      <c r="D11" s="60" t="s">
        <v>1</v>
      </c>
      <c r="F11" s="60" t="s">
        <v>410</v>
      </c>
      <c r="G11" s="60" t="s">
        <v>409</v>
      </c>
      <c r="H11" s="60"/>
      <c r="I11" s="60"/>
      <c r="J11" s="65"/>
      <c r="K11" s="124"/>
    </row>
    <row r="12" spans="1:12" ht="13.5" thickBot="1" x14ac:dyDescent="0.25">
      <c r="A12" s="102" t="s">
        <v>170</v>
      </c>
      <c r="B12" s="128" t="s">
        <v>19</v>
      </c>
      <c r="C12" s="128" t="s">
        <v>20</v>
      </c>
      <c r="D12" s="64" t="s">
        <v>408</v>
      </c>
      <c r="E12" s="64" t="s">
        <v>371</v>
      </c>
      <c r="F12" s="64" t="s">
        <v>407</v>
      </c>
      <c r="G12" s="64" t="s">
        <v>406</v>
      </c>
      <c r="H12" s="64" t="s">
        <v>405</v>
      </c>
      <c r="I12" s="64" t="s">
        <v>363</v>
      </c>
      <c r="J12" s="101"/>
      <c r="K12" s="124"/>
    </row>
    <row r="13" spans="1:12" x14ac:dyDescent="0.2">
      <c r="A13" s="65">
        <v>1</v>
      </c>
      <c r="B13" s="130" t="s">
        <v>9</v>
      </c>
      <c r="C13" s="262">
        <v>2012</v>
      </c>
      <c r="D13" s="121">
        <f>SUM(E13:I13)+SUM(D33:G33)</f>
        <v>1696248998.1939216</v>
      </c>
      <c r="E13" s="461">
        <v>786298777.73778844</v>
      </c>
      <c r="F13" s="285">
        <v>536280836.56999999</v>
      </c>
      <c r="G13" s="276">
        <v>149796433.14000002</v>
      </c>
      <c r="H13" s="261">
        <v>-69617.340000000084</v>
      </c>
      <c r="I13" s="261">
        <v>150902784.00999999</v>
      </c>
      <c r="J13" s="297"/>
    </row>
    <row r="14" spans="1:12" ht="13.5" thickBot="1" x14ac:dyDescent="0.25">
      <c r="A14" s="65">
        <f>A13+1</f>
        <v>2</v>
      </c>
      <c r="B14" s="130" t="s">
        <v>10</v>
      </c>
      <c r="C14" s="262">
        <v>2013</v>
      </c>
      <c r="D14" s="121">
        <f t="shared" ref="D14:D25" si="0">SUM(E14:I14)+SUM(D34:G34)</f>
        <v>1607531996.8699787</v>
      </c>
      <c r="E14" s="461">
        <v>654626488.20778847</v>
      </c>
      <c r="F14" s="277">
        <v>551246527.91999996</v>
      </c>
      <c r="G14" s="261">
        <v>166736571.89000002</v>
      </c>
      <c r="H14" s="261">
        <v>-271.80000000004657</v>
      </c>
      <c r="I14" s="261">
        <v>156695267.03</v>
      </c>
      <c r="J14" s="297"/>
    </row>
    <row r="15" spans="1:12" x14ac:dyDescent="0.2">
      <c r="A15" s="65">
        <f t="shared" ref="A15:A26" si="1">A14+1</f>
        <v>3</v>
      </c>
      <c r="B15" s="118" t="s">
        <v>11</v>
      </c>
      <c r="C15" s="262">
        <v>2013</v>
      </c>
      <c r="D15" s="121">
        <f t="shared" si="0"/>
        <v>1702923319.2164185</v>
      </c>
      <c r="E15" s="461">
        <v>668208268.31778848</v>
      </c>
      <c r="F15" s="261">
        <v>573540960.86000001</v>
      </c>
      <c r="G15" s="261">
        <v>205282284.75000003</v>
      </c>
      <c r="H15" s="261">
        <v>-271.80000000004657</v>
      </c>
      <c r="I15" s="261">
        <v>171632705.76999998</v>
      </c>
      <c r="J15" s="297"/>
    </row>
    <row r="16" spans="1:12" x14ac:dyDescent="0.2">
      <c r="A16" s="65">
        <f t="shared" si="1"/>
        <v>4</v>
      </c>
      <c r="B16" s="118" t="s">
        <v>21</v>
      </c>
      <c r="C16" s="262">
        <v>2013</v>
      </c>
      <c r="D16" s="121">
        <f t="shared" si="0"/>
        <v>1853770827.2162375</v>
      </c>
      <c r="E16" s="461">
        <v>704556754.28778839</v>
      </c>
      <c r="F16" s="261">
        <v>615124221.41999984</v>
      </c>
      <c r="G16" s="261">
        <v>255663322.12</v>
      </c>
      <c r="H16" s="261">
        <v>-271.80000000004657</v>
      </c>
      <c r="I16" s="261">
        <v>187680892.25</v>
      </c>
      <c r="J16" s="297"/>
    </row>
    <row r="17" spans="1:11" x14ac:dyDescent="0.2">
      <c r="A17" s="65">
        <f t="shared" si="1"/>
        <v>5</v>
      </c>
      <c r="B17" s="130" t="s">
        <v>12</v>
      </c>
      <c r="C17" s="262">
        <v>2013</v>
      </c>
      <c r="D17" s="121">
        <f t="shared" si="0"/>
        <v>1960065196.7898803</v>
      </c>
      <c r="E17" s="461">
        <v>725107817.98778844</v>
      </c>
      <c r="F17" s="261">
        <v>659788250.59000003</v>
      </c>
      <c r="G17" s="261">
        <v>283256721.71999997</v>
      </c>
      <c r="H17" s="261">
        <v>0</v>
      </c>
      <c r="I17" s="261">
        <v>195384322.04999998</v>
      </c>
      <c r="J17" s="297"/>
    </row>
    <row r="18" spans="1:11" x14ac:dyDescent="0.2">
      <c r="A18" s="65">
        <f t="shared" si="1"/>
        <v>6</v>
      </c>
      <c r="B18" s="118" t="s">
        <v>13</v>
      </c>
      <c r="C18" s="262">
        <v>2013</v>
      </c>
      <c r="D18" s="121">
        <f t="shared" si="0"/>
        <v>1737118134.894897</v>
      </c>
      <c r="E18" s="461">
        <v>699297921.97489655</v>
      </c>
      <c r="F18" s="261">
        <v>667957348.31000018</v>
      </c>
      <c r="G18" s="261">
        <v>68340811.930000007</v>
      </c>
      <c r="H18" s="261">
        <v>0</v>
      </c>
      <c r="I18" s="261">
        <v>197765940.92999998</v>
      </c>
      <c r="J18" s="297"/>
    </row>
    <row r="19" spans="1:11" x14ac:dyDescent="0.2">
      <c r="A19" s="65">
        <f t="shared" si="1"/>
        <v>7</v>
      </c>
      <c r="B19" s="118" t="s">
        <v>391</v>
      </c>
      <c r="C19" s="262">
        <v>2013</v>
      </c>
      <c r="D19" s="121">
        <f t="shared" si="0"/>
        <v>1147015309.1497037</v>
      </c>
      <c r="E19" s="461">
        <v>766830327.78970349</v>
      </c>
      <c r="F19" s="261">
        <v>277979431.62999994</v>
      </c>
      <c r="G19" s="261">
        <v>42336313.120000012</v>
      </c>
      <c r="H19" s="261">
        <v>0</v>
      </c>
      <c r="I19" s="261">
        <v>15380904.16</v>
      </c>
      <c r="J19" s="297"/>
    </row>
    <row r="20" spans="1:11" x14ac:dyDescent="0.2">
      <c r="A20" s="65">
        <f t="shared" si="1"/>
        <v>8</v>
      </c>
      <c r="B20" s="130" t="s">
        <v>14</v>
      </c>
      <c r="C20" s="262">
        <v>2013</v>
      </c>
      <c r="D20" s="121">
        <f t="shared" si="0"/>
        <v>1134299634.2654362</v>
      </c>
      <c r="E20" s="461">
        <v>779612991.1354363</v>
      </c>
      <c r="F20" s="261">
        <v>287032715.12999994</v>
      </c>
      <c r="G20" s="261">
        <v>345739.58999999973</v>
      </c>
      <c r="H20" s="261">
        <v>0</v>
      </c>
      <c r="I20" s="261">
        <v>15630582.35</v>
      </c>
      <c r="J20" s="297"/>
    </row>
    <row r="21" spans="1:11" x14ac:dyDescent="0.2">
      <c r="A21" s="65">
        <f t="shared" si="1"/>
        <v>9</v>
      </c>
      <c r="B21" s="118" t="s">
        <v>15</v>
      </c>
      <c r="C21" s="262">
        <v>2013</v>
      </c>
      <c r="D21" s="121">
        <f t="shared" si="0"/>
        <v>1079829623.0800002</v>
      </c>
      <c r="E21" s="461">
        <v>713463845.35000002</v>
      </c>
      <c r="F21" s="261">
        <v>297606595.59999996</v>
      </c>
      <c r="G21" s="261">
        <v>348972.06999999995</v>
      </c>
      <c r="H21" s="261">
        <v>0</v>
      </c>
      <c r="I21" s="261">
        <v>16878097.719999999</v>
      </c>
      <c r="J21" s="297"/>
    </row>
    <row r="22" spans="1:11" x14ac:dyDescent="0.2">
      <c r="A22" s="65">
        <f t="shared" si="1"/>
        <v>10</v>
      </c>
      <c r="B22" s="118" t="s">
        <v>16</v>
      </c>
      <c r="C22" s="262">
        <v>2013</v>
      </c>
      <c r="D22" s="121">
        <f t="shared" si="0"/>
        <v>854696572.94393086</v>
      </c>
      <c r="E22" s="461">
        <v>729727854.05000007</v>
      </c>
      <c r="F22" s="261">
        <v>60018500.469999991</v>
      </c>
      <c r="G22" s="261">
        <v>0</v>
      </c>
      <c r="H22" s="261">
        <v>0</v>
      </c>
      <c r="I22" s="261">
        <v>17776373.240000002</v>
      </c>
      <c r="J22" s="297"/>
    </row>
    <row r="23" spans="1:11" x14ac:dyDescent="0.2">
      <c r="A23" s="65">
        <f t="shared" si="1"/>
        <v>11</v>
      </c>
      <c r="B23" s="130" t="s">
        <v>390</v>
      </c>
      <c r="C23" s="262">
        <v>2013</v>
      </c>
      <c r="D23" s="121">
        <f t="shared" si="0"/>
        <v>880355010.08000004</v>
      </c>
      <c r="E23" s="461">
        <v>749979398.30000007</v>
      </c>
      <c r="F23" s="261">
        <v>57254582.280000001</v>
      </c>
      <c r="G23" s="261">
        <v>0</v>
      </c>
      <c r="H23" s="261">
        <v>0</v>
      </c>
      <c r="I23" s="261">
        <v>18999388.950000003</v>
      </c>
      <c r="J23" s="297"/>
    </row>
    <row r="24" spans="1:11" x14ac:dyDescent="0.2">
      <c r="A24" s="65">
        <f t="shared" si="1"/>
        <v>12</v>
      </c>
      <c r="B24" s="130" t="s">
        <v>17</v>
      </c>
      <c r="C24" s="262">
        <v>2013</v>
      </c>
      <c r="D24" s="121">
        <f t="shared" si="0"/>
        <v>876251427.43586063</v>
      </c>
      <c r="E24" s="461">
        <v>748434281.66999996</v>
      </c>
      <c r="F24" s="261">
        <v>48251307.189999998</v>
      </c>
      <c r="G24" s="261">
        <v>0</v>
      </c>
      <c r="H24" s="261">
        <v>0</v>
      </c>
      <c r="I24" s="261">
        <v>19569225.810000002</v>
      </c>
      <c r="J24" s="297"/>
    </row>
    <row r="25" spans="1:11" x14ac:dyDescent="0.2">
      <c r="A25" s="65">
        <f t="shared" si="1"/>
        <v>13</v>
      </c>
      <c r="B25" s="130" t="s">
        <v>9</v>
      </c>
      <c r="C25" s="262">
        <v>2013</v>
      </c>
      <c r="D25" s="126">
        <f t="shared" si="0"/>
        <v>893284315.11037898</v>
      </c>
      <c r="E25" s="462">
        <v>815393483.95000005</v>
      </c>
      <c r="F25" s="303">
        <v>1912227.5699999947</v>
      </c>
      <c r="G25" s="303">
        <v>0</v>
      </c>
      <c r="H25" s="303">
        <v>0</v>
      </c>
      <c r="I25" s="303">
        <v>10206388.680000002</v>
      </c>
      <c r="J25" s="297"/>
    </row>
    <row r="26" spans="1:11" x14ac:dyDescent="0.2">
      <c r="A26" s="65">
        <f t="shared" si="1"/>
        <v>14</v>
      </c>
      <c r="B26" s="130"/>
      <c r="C26" s="300" t="s">
        <v>389</v>
      </c>
      <c r="D26" s="308">
        <f t="shared" ref="D26:I26" si="2">SUM(D13:D25)/13</f>
        <v>1340260797.3266649</v>
      </c>
      <c r="E26" s="299">
        <f>SUM(E13:E25)/13</f>
        <v>733964477.7506907</v>
      </c>
      <c r="F26" s="308">
        <f t="shared" si="2"/>
        <v>356461038.88769233</v>
      </c>
      <c r="G26" s="299">
        <f t="shared" si="2"/>
        <v>90162090.025384635</v>
      </c>
      <c r="H26" s="299">
        <f t="shared" si="2"/>
        <v>-5417.903076923094</v>
      </c>
      <c r="I26" s="299">
        <f t="shared" si="2"/>
        <v>90346374.842307672</v>
      </c>
      <c r="J26" s="297"/>
      <c r="K26" s="297"/>
    </row>
    <row r="27" spans="1:11" x14ac:dyDescent="0.2">
      <c r="A27" s="65"/>
      <c r="B27" s="130"/>
      <c r="C27" s="300"/>
      <c r="D27" s="299"/>
      <c r="E27" s="299"/>
      <c r="F27" s="299"/>
      <c r="G27" s="299"/>
      <c r="H27" s="299"/>
      <c r="I27" s="297"/>
      <c r="J27" s="225"/>
      <c r="K27" s="297"/>
    </row>
    <row r="28" spans="1:11" x14ac:dyDescent="0.2">
      <c r="A28" s="65"/>
      <c r="B28" s="130"/>
      <c r="C28" s="300"/>
      <c r="D28" s="129" t="s">
        <v>188</v>
      </c>
      <c r="E28" s="129" t="s">
        <v>350</v>
      </c>
      <c r="F28" s="129" t="s">
        <v>404</v>
      </c>
      <c r="G28" s="129" t="s">
        <v>403</v>
      </c>
      <c r="H28" s="129" t="s">
        <v>402</v>
      </c>
      <c r="I28" s="129" t="s">
        <v>401</v>
      </c>
      <c r="J28" s="225"/>
      <c r="K28" s="297"/>
    </row>
    <row r="29" spans="1:11" x14ac:dyDescent="0.2">
      <c r="A29" s="65"/>
      <c r="B29" s="130"/>
      <c r="C29" s="300"/>
      <c r="E29" s="306" t="s">
        <v>400</v>
      </c>
      <c r="F29" s="306"/>
      <c r="G29" s="306"/>
      <c r="H29" s="299"/>
      <c r="I29" s="297"/>
      <c r="J29" s="225"/>
      <c r="K29" s="297"/>
    </row>
    <row r="30" spans="1:11" x14ac:dyDescent="0.2">
      <c r="B30" s="60"/>
      <c r="D30" s="60" t="s">
        <v>399</v>
      </c>
      <c r="E30" s="60" t="s">
        <v>398</v>
      </c>
      <c r="F30" s="306"/>
      <c r="G30" s="306"/>
      <c r="H30" s="299"/>
      <c r="I30" s="297"/>
      <c r="J30" s="225"/>
      <c r="K30" s="297"/>
    </row>
    <row r="31" spans="1:11" x14ac:dyDescent="0.2">
      <c r="B31" s="60"/>
      <c r="D31" s="60" t="s">
        <v>397</v>
      </c>
      <c r="E31" s="60" t="s">
        <v>397</v>
      </c>
      <c r="F31" s="306" t="s">
        <v>396</v>
      </c>
      <c r="G31" s="306" t="s">
        <v>395</v>
      </c>
      <c r="H31" s="299"/>
      <c r="I31" s="297"/>
      <c r="J31" s="297"/>
      <c r="K31" s="297"/>
    </row>
    <row r="32" spans="1:11" x14ac:dyDescent="0.2">
      <c r="A32" s="102" t="s">
        <v>170</v>
      </c>
      <c r="B32" s="128" t="s">
        <v>19</v>
      </c>
      <c r="C32" s="128" t="s">
        <v>20</v>
      </c>
      <c r="D32" s="64" t="s">
        <v>394</v>
      </c>
      <c r="E32" s="64" t="s">
        <v>394</v>
      </c>
      <c r="F32" s="305" t="s">
        <v>393</v>
      </c>
      <c r="G32" s="305" t="s">
        <v>392</v>
      </c>
      <c r="H32" s="304"/>
      <c r="I32" s="304"/>
      <c r="J32" s="297"/>
      <c r="K32" s="297"/>
    </row>
    <row r="33" spans="1:11" x14ac:dyDescent="0.2">
      <c r="A33" s="65">
        <f>+A26+1</f>
        <v>15</v>
      </c>
      <c r="B33" s="130" t="s">
        <v>9</v>
      </c>
      <c r="C33" s="262">
        <v>2012</v>
      </c>
      <c r="D33" s="261">
        <v>3256743.08</v>
      </c>
      <c r="E33" s="261">
        <v>47928159.539999999</v>
      </c>
      <c r="F33" s="261">
        <v>10360459.710000001</v>
      </c>
      <c r="G33" s="261">
        <v>11494421.74613302</v>
      </c>
      <c r="H33" s="301" t="s">
        <v>344</v>
      </c>
      <c r="I33" s="301" t="s">
        <v>344</v>
      </c>
      <c r="J33" s="297"/>
      <c r="K33" s="297"/>
    </row>
    <row r="34" spans="1:11" x14ac:dyDescent="0.2">
      <c r="A34" s="65">
        <f>A33+1</f>
        <v>16</v>
      </c>
      <c r="B34" s="130" t="s">
        <v>10</v>
      </c>
      <c r="C34" s="262">
        <v>2013</v>
      </c>
      <c r="D34" s="261">
        <v>3423150.79</v>
      </c>
      <c r="E34" s="261">
        <v>51060998.200000003</v>
      </c>
      <c r="F34" s="261">
        <v>11741050.370000001</v>
      </c>
      <c r="G34" s="261">
        <v>12002214.262189943</v>
      </c>
      <c r="H34" s="301" t="s">
        <v>344</v>
      </c>
      <c r="I34" s="301" t="s">
        <v>344</v>
      </c>
      <c r="J34" s="297"/>
      <c r="K34" s="297"/>
    </row>
    <row r="35" spans="1:11" x14ac:dyDescent="0.2">
      <c r="A35" s="65">
        <f t="shared" ref="A35:A46" si="3">A34+1</f>
        <v>17</v>
      </c>
      <c r="B35" s="118" t="s">
        <v>11</v>
      </c>
      <c r="C35" s="262">
        <v>2013</v>
      </c>
      <c r="D35" s="261">
        <v>3643390.8</v>
      </c>
      <c r="E35" s="261">
        <v>55179643.740000002</v>
      </c>
      <c r="F35" s="261">
        <v>12726027.33</v>
      </c>
      <c r="G35" s="261">
        <v>12710309.448630039</v>
      </c>
      <c r="H35" s="301" t="s">
        <v>344</v>
      </c>
      <c r="I35" s="301" t="s">
        <v>344</v>
      </c>
      <c r="J35" s="297"/>
      <c r="K35" s="297"/>
    </row>
    <row r="36" spans="1:11" x14ac:dyDescent="0.2">
      <c r="A36" s="65">
        <f t="shared" si="3"/>
        <v>18</v>
      </c>
      <c r="B36" s="118" t="s">
        <v>21</v>
      </c>
      <c r="C36" s="262">
        <v>2013</v>
      </c>
      <c r="D36" s="261">
        <v>3763575.27</v>
      </c>
      <c r="E36" s="261">
        <v>59958722.329999998</v>
      </c>
      <c r="F36" s="261">
        <v>13657274.010000002</v>
      </c>
      <c r="G36" s="261">
        <v>13366337.328449041</v>
      </c>
      <c r="H36" s="301" t="s">
        <v>344</v>
      </c>
      <c r="I36" s="301" t="s">
        <v>344</v>
      </c>
      <c r="J36" s="297"/>
      <c r="K36" s="297"/>
    </row>
    <row r="37" spans="1:11" x14ac:dyDescent="0.2">
      <c r="A37" s="65">
        <f t="shared" si="3"/>
        <v>19</v>
      </c>
      <c r="B37" s="130" t="s">
        <v>12</v>
      </c>
      <c r="C37" s="262">
        <v>2013</v>
      </c>
      <c r="D37" s="261">
        <v>4089014.0300000003</v>
      </c>
      <c r="E37" s="261">
        <v>62090329.969999999</v>
      </c>
      <c r="F37" s="261">
        <v>15467907.33</v>
      </c>
      <c r="G37" s="261">
        <v>14880833.112091957</v>
      </c>
      <c r="H37" s="301" t="s">
        <v>344</v>
      </c>
      <c r="I37" s="301" t="s">
        <v>344</v>
      </c>
      <c r="J37" s="297"/>
      <c r="K37" s="297"/>
    </row>
    <row r="38" spans="1:11" x14ac:dyDescent="0.2">
      <c r="A38" s="65">
        <f t="shared" si="3"/>
        <v>20</v>
      </c>
      <c r="B38" s="118" t="s">
        <v>13</v>
      </c>
      <c r="C38" s="262">
        <v>2013</v>
      </c>
      <c r="D38" s="261">
        <v>4280638.92</v>
      </c>
      <c r="E38" s="261">
        <v>64642581.499999993</v>
      </c>
      <c r="F38" s="261">
        <v>16339565.680000002</v>
      </c>
      <c r="G38" s="261">
        <v>18493325.650000002</v>
      </c>
      <c r="H38" s="301" t="s">
        <v>344</v>
      </c>
      <c r="I38" s="301" t="s">
        <v>344</v>
      </c>
      <c r="J38" s="297"/>
      <c r="K38" s="297"/>
    </row>
    <row r="39" spans="1:11" x14ac:dyDescent="0.2">
      <c r="A39" s="65">
        <f t="shared" si="3"/>
        <v>21</v>
      </c>
      <c r="B39" s="118" t="s">
        <v>391</v>
      </c>
      <c r="C39" s="262">
        <v>2013</v>
      </c>
      <c r="D39" s="261">
        <v>7193642.8500000006</v>
      </c>
      <c r="E39" s="261">
        <v>317199.57</v>
      </c>
      <c r="F39" s="261">
        <v>17251573.859999999</v>
      </c>
      <c r="G39" s="261">
        <v>19725916.170000002</v>
      </c>
      <c r="H39" s="301" t="s">
        <v>344</v>
      </c>
      <c r="I39" s="301" t="s">
        <v>344</v>
      </c>
      <c r="J39" s="297"/>
      <c r="K39" s="297"/>
    </row>
    <row r="40" spans="1:11" x14ac:dyDescent="0.2">
      <c r="A40" s="65">
        <f t="shared" si="3"/>
        <v>22</v>
      </c>
      <c r="B40" s="130" t="s">
        <v>14</v>
      </c>
      <c r="C40" s="262">
        <v>2013</v>
      </c>
      <c r="D40" s="261">
        <v>12980103.320000002</v>
      </c>
      <c r="E40" s="261">
        <v>-124402.22</v>
      </c>
      <c r="F40" s="261">
        <v>18472008.739999998</v>
      </c>
      <c r="G40" s="261">
        <v>20349896.220000003</v>
      </c>
      <c r="H40" s="301" t="s">
        <v>344</v>
      </c>
      <c r="I40" s="301" t="s">
        <v>344</v>
      </c>
      <c r="J40" s="297"/>
      <c r="K40" s="297"/>
    </row>
    <row r="41" spans="1:11" x14ac:dyDescent="0.2">
      <c r="A41" s="65">
        <f t="shared" si="3"/>
        <v>23</v>
      </c>
      <c r="B41" s="118" t="s">
        <v>15</v>
      </c>
      <c r="C41" s="262">
        <v>2013</v>
      </c>
      <c r="D41" s="261">
        <v>10881002.760000002</v>
      </c>
      <c r="E41" s="261">
        <v>-124402.22</v>
      </c>
      <c r="F41" s="261">
        <v>19529346.310000002</v>
      </c>
      <c r="G41" s="261">
        <v>21246165.490000002</v>
      </c>
      <c r="H41" s="301" t="s">
        <v>344</v>
      </c>
      <c r="I41" s="301" t="s">
        <v>344</v>
      </c>
      <c r="J41" s="297"/>
      <c r="K41" s="297"/>
    </row>
    <row r="42" spans="1:11" x14ac:dyDescent="0.2">
      <c r="A42" s="65">
        <f t="shared" si="3"/>
        <v>24</v>
      </c>
      <c r="B42" s="118" t="s">
        <v>16</v>
      </c>
      <c r="C42" s="262">
        <v>2013</v>
      </c>
      <c r="D42" s="261">
        <v>8174644.6699999999</v>
      </c>
      <c r="E42" s="261">
        <v>-6252.0600000000268</v>
      </c>
      <c r="F42" s="261">
        <v>20290201.030000001</v>
      </c>
      <c r="G42" s="261">
        <v>18715251.543930776</v>
      </c>
      <c r="H42" s="301" t="s">
        <v>344</v>
      </c>
      <c r="I42" s="301" t="s">
        <v>344</v>
      </c>
      <c r="J42" s="297"/>
      <c r="K42" s="297"/>
    </row>
    <row r="43" spans="1:11" x14ac:dyDescent="0.2">
      <c r="A43" s="65">
        <f t="shared" si="3"/>
        <v>25</v>
      </c>
      <c r="B43" s="130" t="s">
        <v>390</v>
      </c>
      <c r="C43" s="262">
        <v>2013</v>
      </c>
      <c r="D43" s="261">
        <v>9544324.3100000005</v>
      </c>
      <c r="E43" s="261">
        <v>0</v>
      </c>
      <c r="F43" s="261">
        <v>20994034.940000001</v>
      </c>
      <c r="G43" s="261">
        <v>23583281.300000004</v>
      </c>
      <c r="H43" s="301" t="s">
        <v>344</v>
      </c>
      <c r="I43" s="301" t="s">
        <v>344</v>
      </c>
      <c r="J43" s="297"/>
      <c r="K43" s="297"/>
    </row>
    <row r="44" spans="1:11" x14ac:dyDescent="0.2">
      <c r="A44" s="65">
        <f t="shared" si="3"/>
        <v>26</v>
      </c>
      <c r="B44" s="130" t="s">
        <v>17</v>
      </c>
      <c r="C44" s="262">
        <v>2013</v>
      </c>
      <c r="D44" s="261">
        <v>18124450.859999999</v>
      </c>
      <c r="E44" s="261">
        <v>0</v>
      </c>
      <c r="F44" s="261">
        <v>21474094.280000001</v>
      </c>
      <c r="G44" s="261">
        <v>20398067.62586081</v>
      </c>
      <c r="H44" s="301" t="s">
        <v>344</v>
      </c>
      <c r="I44" s="301" t="s">
        <v>344</v>
      </c>
      <c r="J44" s="297"/>
      <c r="K44" s="297"/>
    </row>
    <row r="45" spans="1:11" x14ac:dyDescent="0.2">
      <c r="A45" s="65">
        <f t="shared" si="3"/>
        <v>27</v>
      </c>
      <c r="B45" s="130" t="s">
        <v>9</v>
      </c>
      <c r="C45" s="262">
        <v>2013</v>
      </c>
      <c r="D45" s="303">
        <v>21945221.93</v>
      </c>
      <c r="E45" s="303">
        <v>0</v>
      </c>
      <c r="F45" s="303">
        <v>22710040.250000004</v>
      </c>
      <c r="G45" s="303">
        <v>21116952.730378974</v>
      </c>
      <c r="H45" s="301" t="s">
        <v>344</v>
      </c>
      <c r="I45" s="301" t="s">
        <v>344</v>
      </c>
      <c r="J45" s="297"/>
      <c r="K45" s="297"/>
    </row>
    <row r="46" spans="1:11" x14ac:dyDescent="0.2">
      <c r="A46" s="65">
        <f t="shared" si="3"/>
        <v>28</v>
      </c>
      <c r="B46" s="130"/>
      <c r="C46" s="300" t="s">
        <v>389</v>
      </c>
      <c r="D46" s="299">
        <f>SUM(D33:D45)/13</f>
        <v>8561531.0453846157</v>
      </c>
      <c r="E46" s="299">
        <f>SUM(E33:E45)/13</f>
        <v>26224813.719230764</v>
      </c>
      <c r="F46" s="299">
        <f>SUM(F33:F45)/13</f>
        <v>17001044.910769232</v>
      </c>
      <c r="G46" s="299">
        <f>SUM(G33:G45)/13</f>
        <v>17544844.048281893</v>
      </c>
      <c r="H46" s="298" t="s">
        <v>344</v>
      </c>
      <c r="I46" s="298" t="s">
        <v>344</v>
      </c>
      <c r="J46" s="297"/>
      <c r="K46" s="297"/>
    </row>
    <row r="48" spans="1:11" x14ac:dyDescent="0.2">
      <c r="B48" s="290" t="s">
        <v>388</v>
      </c>
    </row>
    <row r="49" spans="1:13" x14ac:dyDescent="0.2">
      <c r="B49" s="290"/>
      <c r="D49" s="263" t="s">
        <v>167</v>
      </c>
      <c r="E49" s="263" t="s">
        <v>168</v>
      </c>
      <c r="F49" s="263" t="s">
        <v>184</v>
      </c>
      <c r="G49" s="263" t="s">
        <v>185</v>
      </c>
      <c r="H49" s="263" t="s">
        <v>186</v>
      </c>
      <c r="I49" s="263" t="s">
        <v>187</v>
      </c>
      <c r="J49" s="263" t="s">
        <v>188</v>
      </c>
      <c r="K49" s="263" t="s">
        <v>350</v>
      </c>
    </row>
    <row r="50" spans="1:13" s="295" customFormat="1" x14ac:dyDescent="0.2">
      <c r="A50" s="296"/>
      <c r="D50" s="208" t="s">
        <v>293</v>
      </c>
      <c r="E50" s="208" t="s">
        <v>293</v>
      </c>
      <c r="F50" s="208" t="s">
        <v>293</v>
      </c>
      <c r="G50" s="208" t="s">
        <v>293</v>
      </c>
      <c r="H50" s="208" t="s">
        <v>293</v>
      </c>
      <c r="I50" s="208" t="s">
        <v>293</v>
      </c>
      <c r="J50" s="208" t="s">
        <v>293</v>
      </c>
      <c r="K50" s="208" t="s">
        <v>293</v>
      </c>
      <c r="L50" s="296"/>
    </row>
    <row r="51" spans="1:13" x14ac:dyDescent="0.2">
      <c r="G51" s="60" t="s">
        <v>387</v>
      </c>
      <c r="K51" s="255"/>
    </row>
    <row r="52" spans="1:13" x14ac:dyDescent="0.2">
      <c r="A52" s="255"/>
      <c r="B52" s="255"/>
      <c r="C52" s="255"/>
      <c r="D52" s="255" t="s">
        <v>382</v>
      </c>
      <c r="E52" s="255" t="s">
        <v>386</v>
      </c>
      <c r="F52" s="255" t="s">
        <v>385</v>
      </c>
      <c r="G52" s="255" t="s">
        <v>169</v>
      </c>
      <c r="H52" s="255" t="s">
        <v>384</v>
      </c>
      <c r="I52" s="294" t="s">
        <v>383</v>
      </c>
      <c r="J52" s="255" t="s">
        <v>382</v>
      </c>
      <c r="K52" s="255" t="s">
        <v>381</v>
      </c>
    </row>
    <row r="53" spans="1:13" x14ac:dyDescent="0.2">
      <c r="A53" s="102" t="s">
        <v>170</v>
      </c>
      <c r="B53" s="128" t="s">
        <v>19</v>
      </c>
      <c r="C53" s="128" t="s">
        <v>20</v>
      </c>
      <c r="D53" s="263" t="s">
        <v>380</v>
      </c>
      <c r="E53" s="263" t="s">
        <v>379</v>
      </c>
      <c r="F53" s="263" t="s">
        <v>378</v>
      </c>
      <c r="G53" s="263" t="s">
        <v>359</v>
      </c>
      <c r="H53" s="263" t="s">
        <v>377</v>
      </c>
      <c r="I53" s="263" t="s">
        <v>376</v>
      </c>
      <c r="J53" s="263" t="s">
        <v>375</v>
      </c>
      <c r="K53" s="64" t="s">
        <v>374</v>
      </c>
    </row>
    <row r="54" spans="1:13" x14ac:dyDescent="0.2">
      <c r="A54" s="65">
        <f>A46+1</f>
        <v>29</v>
      </c>
      <c r="B54" s="130" t="s">
        <v>9</v>
      </c>
      <c r="C54" s="262">
        <v>2013</v>
      </c>
      <c r="D54" s="252" t="s">
        <v>344</v>
      </c>
      <c r="E54" s="252" t="s">
        <v>344</v>
      </c>
      <c r="F54" s="252" t="s">
        <v>344</v>
      </c>
      <c r="G54" s="252" t="s">
        <v>344</v>
      </c>
      <c r="H54" s="252" t="s">
        <v>344</v>
      </c>
      <c r="I54" s="252" t="s">
        <v>344</v>
      </c>
      <c r="J54" s="121">
        <f>D25</f>
        <v>893284315.11037898</v>
      </c>
      <c r="K54" s="252" t="s">
        <v>344</v>
      </c>
    </row>
    <row r="55" spans="1:13" x14ac:dyDescent="0.2">
      <c r="A55" s="65">
        <f>A54+1</f>
        <v>30</v>
      </c>
      <c r="B55" s="130" t="s">
        <v>10</v>
      </c>
      <c r="C55" s="262">
        <v>2014</v>
      </c>
      <c r="D55" s="121">
        <f t="shared" ref="D55:K70" si="4">D89+D122+D153+D186+D217+D250+D281+D314+D345+D378</f>
        <v>13563515.148199998</v>
      </c>
      <c r="E55" s="121">
        <f t="shared" si="4"/>
        <v>1017263.6361150001</v>
      </c>
      <c r="F55" s="121">
        <f t="shared" si="4"/>
        <v>14580778.784315001</v>
      </c>
      <c r="G55" s="275">
        <f t="shared" si="4"/>
        <v>12810060.830000002</v>
      </c>
      <c r="H55" s="275">
        <f t="shared" si="4"/>
        <v>6951533.1100000031</v>
      </c>
      <c r="I55" s="121">
        <f t="shared" si="4"/>
        <v>439389.57899999997</v>
      </c>
      <c r="J55" s="275">
        <f t="shared" si="4"/>
        <v>894615643.48569393</v>
      </c>
      <c r="K55" s="121">
        <f t="shared" si="4"/>
        <v>1331328.3753150236</v>
      </c>
      <c r="L55" s="293"/>
      <c r="M55" s="121"/>
    </row>
    <row r="56" spans="1:13" x14ac:dyDescent="0.2">
      <c r="A56" s="65">
        <f t="shared" ref="A56:A79" si="5">A55+1</f>
        <v>31</v>
      </c>
      <c r="B56" s="118" t="s">
        <v>11</v>
      </c>
      <c r="C56" s="262">
        <v>2014</v>
      </c>
      <c r="D56" s="121">
        <f t="shared" si="4"/>
        <v>27387693.095600005</v>
      </c>
      <c r="E56" s="121">
        <f t="shared" si="4"/>
        <v>2054076.9821700007</v>
      </c>
      <c r="F56" s="275">
        <f t="shared" si="4"/>
        <v>29441770.077770006</v>
      </c>
      <c r="G56" s="275">
        <f t="shared" si="4"/>
        <v>3025487.2299999995</v>
      </c>
      <c r="H56" s="121">
        <f t="shared" si="4"/>
        <v>0</v>
      </c>
      <c r="I56" s="121">
        <f t="shared" si="4"/>
        <v>226911.54224999997</v>
      </c>
      <c r="J56" s="121">
        <f t="shared" si="4"/>
        <v>920805014.79121387</v>
      </c>
      <c r="K56" s="275">
        <f t="shared" si="4"/>
        <v>27520699.680834956</v>
      </c>
      <c r="L56" s="293"/>
      <c r="M56" s="121"/>
    </row>
    <row r="57" spans="1:13" x14ac:dyDescent="0.2">
      <c r="A57" s="65">
        <f t="shared" si="5"/>
        <v>32</v>
      </c>
      <c r="B57" s="118" t="s">
        <v>21</v>
      </c>
      <c r="C57" s="262">
        <v>2014</v>
      </c>
      <c r="D57" s="121">
        <f t="shared" si="4"/>
        <v>25898071.849746667</v>
      </c>
      <c r="E57" s="121">
        <f t="shared" si="4"/>
        <v>1942355.388731</v>
      </c>
      <c r="F57" s="121">
        <f t="shared" si="4"/>
        <v>27840427.23847767</v>
      </c>
      <c r="G57" s="121">
        <f t="shared" si="4"/>
        <v>293125103.21999997</v>
      </c>
      <c r="H57" s="121">
        <f t="shared" si="4"/>
        <v>281317278.48999995</v>
      </c>
      <c r="I57" s="121">
        <f t="shared" si="4"/>
        <v>885586.85474999936</v>
      </c>
      <c r="J57" s="121">
        <f t="shared" si="4"/>
        <v>654634751.95494163</v>
      </c>
      <c r="K57" s="275">
        <f t="shared" si="4"/>
        <v>-238649563.15543729</v>
      </c>
      <c r="L57" s="293"/>
      <c r="M57" s="121"/>
    </row>
    <row r="58" spans="1:13" x14ac:dyDescent="0.2">
      <c r="A58" s="65">
        <f t="shared" si="5"/>
        <v>33</v>
      </c>
      <c r="B58" s="130" t="s">
        <v>12</v>
      </c>
      <c r="C58" s="262">
        <v>2014</v>
      </c>
      <c r="D58" s="121">
        <f t="shared" si="4"/>
        <v>44027763.309568122</v>
      </c>
      <c r="E58" s="121">
        <f t="shared" si="4"/>
        <v>3302082.2482176092</v>
      </c>
      <c r="F58" s="121">
        <f t="shared" si="4"/>
        <v>47329845.557785727</v>
      </c>
      <c r="G58" s="121">
        <f t="shared" si="4"/>
        <v>17798268.280000001</v>
      </c>
      <c r="H58" s="121">
        <f t="shared" si="4"/>
        <v>0</v>
      </c>
      <c r="I58" s="121">
        <f t="shared" si="4"/>
        <v>1334870.1209999998</v>
      </c>
      <c r="J58" s="121">
        <f t="shared" si="4"/>
        <v>682831459.11172736</v>
      </c>
      <c r="K58" s="275">
        <f t="shared" si="4"/>
        <v>-210452855.99865162</v>
      </c>
      <c r="L58" s="293"/>
      <c r="M58" s="121"/>
    </row>
    <row r="59" spans="1:13" x14ac:dyDescent="0.2">
      <c r="A59" s="65">
        <f t="shared" si="5"/>
        <v>34</v>
      </c>
      <c r="B59" s="118" t="s">
        <v>13</v>
      </c>
      <c r="C59" s="262">
        <v>2014</v>
      </c>
      <c r="D59" s="121">
        <f t="shared" si="4"/>
        <v>59472530.767401449</v>
      </c>
      <c r="E59" s="121">
        <f t="shared" si="4"/>
        <v>4460439.8075551083</v>
      </c>
      <c r="F59" s="121">
        <f t="shared" si="4"/>
        <v>63932970.574956551</v>
      </c>
      <c r="G59" s="121">
        <f t="shared" si="4"/>
        <v>8201450</v>
      </c>
      <c r="H59" s="121">
        <f t="shared" si="4"/>
        <v>0</v>
      </c>
      <c r="I59" s="121">
        <f t="shared" si="4"/>
        <v>615108.75</v>
      </c>
      <c r="J59" s="121">
        <f t="shared" si="4"/>
        <v>737947870.93668389</v>
      </c>
      <c r="K59" s="275">
        <f t="shared" si="4"/>
        <v>-155336444.173695</v>
      </c>
      <c r="L59" s="293"/>
      <c r="M59" s="121"/>
    </row>
    <row r="60" spans="1:13" x14ac:dyDescent="0.2">
      <c r="A60" s="65">
        <f t="shared" si="5"/>
        <v>35</v>
      </c>
      <c r="B60" s="118" t="s">
        <v>28</v>
      </c>
      <c r="C60" s="262">
        <v>2014</v>
      </c>
      <c r="D60" s="121">
        <f t="shared" si="4"/>
        <v>53571917.085311458</v>
      </c>
      <c r="E60" s="121">
        <f t="shared" si="4"/>
        <v>4017893.7813983588</v>
      </c>
      <c r="F60" s="121">
        <f t="shared" si="4"/>
        <v>57589810.866709813</v>
      </c>
      <c r="G60" s="121">
        <f t="shared" si="4"/>
        <v>9261450</v>
      </c>
      <c r="H60" s="121">
        <f t="shared" si="4"/>
        <v>0</v>
      </c>
      <c r="I60" s="121">
        <f t="shared" si="4"/>
        <v>694608.75</v>
      </c>
      <c r="J60" s="121">
        <f t="shared" si="4"/>
        <v>785581623.05339372</v>
      </c>
      <c r="K60" s="275">
        <f t="shared" si="4"/>
        <v>-107702692.0569852</v>
      </c>
      <c r="L60" s="293"/>
      <c r="M60" s="121"/>
    </row>
    <row r="61" spans="1:13" x14ac:dyDescent="0.2">
      <c r="A61" s="65">
        <f t="shared" si="5"/>
        <v>36</v>
      </c>
      <c r="B61" s="130" t="s">
        <v>14</v>
      </c>
      <c r="C61" s="262">
        <v>2014</v>
      </c>
      <c r="D61" s="121">
        <f t="shared" si="4"/>
        <v>51874051.218739465</v>
      </c>
      <c r="E61" s="121">
        <f t="shared" si="4"/>
        <v>3890553.8414054597</v>
      </c>
      <c r="F61" s="121">
        <f t="shared" si="4"/>
        <v>55764605.060144924</v>
      </c>
      <c r="G61" s="121">
        <f t="shared" si="4"/>
        <v>30497122.730000004</v>
      </c>
      <c r="H61" s="121">
        <f t="shared" si="4"/>
        <v>22630286.590000004</v>
      </c>
      <c r="I61" s="121">
        <f t="shared" si="4"/>
        <v>590012.71050000004</v>
      </c>
      <c r="J61" s="121">
        <f t="shared" si="4"/>
        <v>810259092.67303872</v>
      </c>
      <c r="K61" s="275">
        <f t="shared" si="4"/>
        <v>-83025222.437340289</v>
      </c>
      <c r="L61" s="293"/>
      <c r="M61" s="121"/>
    </row>
    <row r="62" spans="1:13" x14ac:dyDescent="0.2">
      <c r="A62" s="65">
        <f t="shared" si="5"/>
        <v>37</v>
      </c>
      <c r="B62" s="118" t="s">
        <v>15</v>
      </c>
      <c r="C62" s="262">
        <v>2014</v>
      </c>
      <c r="D62" s="121">
        <f t="shared" si="4"/>
        <v>49924639.612159468</v>
      </c>
      <c r="E62" s="121">
        <f t="shared" si="4"/>
        <v>3744347.9709119601</v>
      </c>
      <c r="F62" s="121">
        <f t="shared" si="4"/>
        <v>53668987.583071426</v>
      </c>
      <c r="G62" s="121">
        <f t="shared" si="4"/>
        <v>7472450</v>
      </c>
      <c r="H62" s="121">
        <f t="shared" si="4"/>
        <v>0</v>
      </c>
      <c r="I62" s="121">
        <f t="shared" si="4"/>
        <v>560433.75</v>
      </c>
      <c r="J62" s="121">
        <f t="shared" si="4"/>
        <v>855895196.50611019</v>
      </c>
      <c r="K62" s="121">
        <f t="shared" si="4"/>
        <v>-37389118.604268804</v>
      </c>
      <c r="L62" s="293"/>
      <c r="M62" s="121"/>
    </row>
    <row r="63" spans="1:13" x14ac:dyDescent="0.2">
      <c r="A63" s="65">
        <f t="shared" si="5"/>
        <v>38</v>
      </c>
      <c r="B63" s="118" t="s">
        <v>16</v>
      </c>
      <c r="C63" s="262">
        <v>2014</v>
      </c>
      <c r="D63" s="121">
        <f t="shared" si="4"/>
        <v>51945327.812684461</v>
      </c>
      <c r="E63" s="121">
        <f t="shared" si="4"/>
        <v>3895899.5859513348</v>
      </c>
      <c r="F63" s="121">
        <f t="shared" si="4"/>
        <v>55841227.398635805</v>
      </c>
      <c r="G63" s="121">
        <f t="shared" si="4"/>
        <v>14633323.059999999</v>
      </c>
      <c r="H63" s="121">
        <f t="shared" si="4"/>
        <v>3100505.1500000004</v>
      </c>
      <c r="I63" s="121">
        <f t="shared" si="4"/>
        <v>864961.3432499998</v>
      </c>
      <c r="J63" s="121">
        <f t="shared" si="4"/>
        <v>896238139.50149596</v>
      </c>
      <c r="K63" s="121">
        <f t="shared" si="4"/>
        <v>2953824.391117014</v>
      </c>
      <c r="L63" s="293"/>
      <c r="M63" s="121"/>
    </row>
    <row r="64" spans="1:13" x14ac:dyDescent="0.2">
      <c r="A64" s="65">
        <f t="shared" si="5"/>
        <v>39</v>
      </c>
      <c r="B64" s="130" t="s">
        <v>18</v>
      </c>
      <c r="C64" s="262">
        <v>2014</v>
      </c>
      <c r="D64" s="121">
        <f t="shared" si="4"/>
        <v>54247580.015104473</v>
      </c>
      <c r="E64" s="121">
        <f t="shared" si="4"/>
        <v>4068568.5011328347</v>
      </c>
      <c r="F64" s="121">
        <f t="shared" si="4"/>
        <v>58316148.516237304</v>
      </c>
      <c r="G64" s="121">
        <f t="shared" si="4"/>
        <v>10180450</v>
      </c>
      <c r="H64" s="121">
        <f t="shared" si="4"/>
        <v>0</v>
      </c>
      <c r="I64" s="121">
        <f t="shared" si="4"/>
        <v>763533.75</v>
      </c>
      <c r="J64" s="121">
        <f t="shared" si="4"/>
        <v>943610304.26773322</v>
      </c>
      <c r="K64" s="275">
        <f t="shared" si="4"/>
        <v>50325989.15735437</v>
      </c>
      <c r="L64" s="293"/>
      <c r="M64" s="121"/>
    </row>
    <row r="65" spans="1:13" x14ac:dyDescent="0.2">
      <c r="A65" s="65">
        <f t="shared" si="5"/>
        <v>40</v>
      </c>
      <c r="B65" s="130" t="s">
        <v>17</v>
      </c>
      <c r="C65" s="262">
        <v>2014</v>
      </c>
      <c r="D65" s="121">
        <f t="shared" si="4"/>
        <v>54201906.482021123</v>
      </c>
      <c r="E65" s="121">
        <f t="shared" si="4"/>
        <v>4065142.9861515844</v>
      </c>
      <c r="F65" s="121">
        <f t="shared" si="4"/>
        <v>58267049.468172707</v>
      </c>
      <c r="G65" s="121">
        <f t="shared" si="4"/>
        <v>12204450</v>
      </c>
      <c r="H65" s="121">
        <f t="shared" si="4"/>
        <v>0</v>
      </c>
      <c r="I65" s="121">
        <f t="shared" si="4"/>
        <v>915333.75</v>
      </c>
      <c r="J65" s="121">
        <f t="shared" si="4"/>
        <v>988757569.985906</v>
      </c>
      <c r="K65" s="275">
        <f t="shared" si="4"/>
        <v>95473254.875527024</v>
      </c>
      <c r="L65" s="293"/>
      <c r="M65" s="121"/>
    </row>
    <row r="66" spans="1:13" x14ac:dyDescent="0.2">
      <c r="A66" s="65">
        <f t="shared" si="5"/>
        <v>41</v>
      </c>
      <c r="B66" s="130" t="s">
        <v>9</v>
      </c>
      <c r="C66" s="262">
        <v>2014</v>
      </c>
      <c r="D66" s="121">
        <f t="shared" si="4"/>
        <v>58232509.724721126</v>
      </c>
      <c r="E66" s="121">
        <f t="shared" si="4"/>
        <v>4367438.2293540845</v>
      </c>
      <c r="F66" s="121">
        <f t="shared" si="4"/>
        <v>62599947.954075217</v>
      </c>
      <c r="G66" s="121">
        <f t="shared" si="4"/>
        <v>88308164.922000051</v>
      </c>
      <c r="H66" s="121">
        <f t="shared" si="4"/>
        <v>53477263.050000027</v>
      </c>
      <c r="I66" s="121">
        <f t="shared" si="4"/>
        <v>2612317.6404000008</v>
      </c>
      <c r="J66" s="275">
        <f t="shared" si="4"/>
        <v>960437035.37758124</v>
      </c>
      <c r="K66" s="121">
        <f t="shared" si="4"/>
        <v>67152720.267202154</v>
      </c>
      <c r="L66" s="293"/>
      <c r="M66" s="121"/>
    </row>
    <row r="67" spans="1:13" x14ac:dyDescent="0.2">
      <c r="A67" s="65">
        <f t="shared" si="5"/>
        <v>42</v>
      </c>
      <c r="B67" s="130" t="s">
        <v>10</v>
      </c>
      <c r="C67" s="262">
        <v>2015</v>
      </c>
      <c r="D67" s="121">
        <f t="shared" si="4"/>
        <v>55354852.864489526</v>
      </c>
      <c r="E67" s="121">
        <f t="shared" si="4"/>
        <v>4151613.9648367143</v>
      </c>
      <c r="F67" s="121">
        <f t="shared" si="4"/>
        <v>59506466.829326242</v>
      </c>
      <c r="G67" s="121">
        <f t="shared" si="4"/>
        <v>197653445.03199998</v>
      </c>
      <c r="H67" s="121">
        <f t="shared" si="4"/>
        <v>122158503.50999999</v>
      </c>
      <c r="I67" s="121">
        <f t="shared" si="4"/>
        <v>5662120.6141499989</v>
      </c>
      <c r="J67" s="121">
        <f t="shared" si="4"/>
        <v>816627936.56075752</v>
      </c>
      <c r="K67" s="121">
        <f t="shared" si="4"/>
        <v>-76656378.549621537</v>
      </c>
      <c r="L67" s="293"/>
      <c r="M67" s="121"/>
    </row>
    <row r="68" spans="1:13" x14ac:dyDescent="0.2">
      <c r="A68" s="65">
        <f t="shared" si="5"/>
        <v>43</v>
      </c>
      <c r="B68" s="118" t="s">
        <v>11</v>
      </c>
      <c r="C68" s="262">
        <v>2015</v>
      </c>
      <c r="D68" s="121">
        <f t="shared" si="4"/>
        <v>59524998.595952474</v>
      </c>
      <c r="E68" s="121">
        <f t="shared" si="4"/>
        <v>4464374.8946964359</v>
      </c>
      <c r="F68" s="121">
        <f t="shared" si="4"/>
        <v>63989373.49064891</v>
      </c>
      <c r="G68" s="121">
        <f t="shared" si="4"/>
        <v>8103096.8566666674</v>
      </c>
      <c r="H68" s="121">
        <f t="shared" si="4"/>
        <v>2453680.1900000009</v>
      </c>
      <c r="I68" s="121">
        <f t="shared" si="4"/>
        <v>423706.25</v>
      </c>
      <c r="J68" s="121">
        <f t="shared" si="4"/>
        <v>872090506.94473982</v>
      </c>
      <c r="K68" s="275">
        <f t="shared" si="4"/>
        <v>-21193808.165639322</v>
      </c>
      <c r="L68" s="293"/>
      <c r="M68" s="121"/>
    </row>
    <row r="69" spans="1:13" x14ac:dyDescent="0.2">
      <c r="A69" s="65">
        <f t="shared" si="5"/>
        <v>44</v>
      </c>
      <c r="B69" s="118" t="s">
        <v>21</v>
      </c>
      <c r="C69" s="262">
        <v>2015</v>
      </c>
      <c r="D69" s="121">
        <f t="shared" si="4"/>
        <v>59226995.065982632</v>
      </c>
      <c r="E69" s="121">
        <f t="shared" si="4"/>
        <v>4442024.6299486971</v>
      </c>
      <c r="F69" s="121">
        <f t="shared" si="4"/>
        <v>63669019.69593133</v>
      </c>
      <c r="G69" s="121">
        <f t="shared" si="4"/>
        <v>7530416.666666666</v>
      </c>
      <c r="H69" s="121">
        <f t="shared" si="4"/>
        <v>0</v>
      </c>
      <c r="I69" s="121">
        <f t="shared" si="4"/>
        <v>564781.25</v>
      </c>
      <c r="J69" s="121">
        <f t="shared" si="4"/>
        <v>927664328.72400439</v>
      </c>
      <c r="K69" s="275">
        <f t="shared" si="4"/>
        <v>34380013.613625385</v>
      </c>
      <c r="L69" s="293"/>
      <c r="M69" s="121"/>
    </row>
    <row r="70" spans="1:13" x14ac:dyDescent="0.2">
      <c r="A70" s="65">
        <f t="shared" si="5"/>
        <v>45</v>
      </c>
      <c r="B70" s="130" t="s">
        <v>12</v>
      </c>
      <c r="C70" s="262">
        <v>2015</v>
      </c>
      <c r="D70" s="121">
        <f t="shared" si="4"/>
        <v>49113461.292059802</v>
      </c>
      <c r="E70" s="121">
        <f t="shared" si="4"/>
        <v>3683509.5969044855</v>
      </c>
      <c r="F70" s="121">
        <f t="shared" si="4"/>
        <v>52796970.88896428</v>
      </c>
      <c r="G70" s="121">
        <f t="shared" si="4"/>
        <v>1454416.6666666667</v>
      </c>
      <c r="H70" s="121">
        <f t="shared" si="4"/>
        <v>0</v>
      </c>
      <c r="I70" s="121">
        <f t="shared" si="4"/>
        <v>109081.25</v>
      </c>
      <c r="J70" s="121">
        <f t="shared" si="4"/>
        <v>978897801.69630206</v>
      </c>
      <c r="K70" s="275">
        <f t="shared" si="4"/>
        <v>85613486.585923046</v>
      </c>
      <c r="L70" s="293"/>
      <c r="M70" s="121"/>
    </row>
    <row r="71" spans="1:13" x14ac:dyDescent="0.2">
      <c r="A71" s="65">
        <f t="shared" si="5"/>
        <v>46</v>
      </c>
      <c r="B71" s="118" t="s">
        <v>13</v>
      </c>
      <c r="C71" s="262">
        <v>2015</v>
      </c>
      <c r="D71" s="121">
        <f t="shared" ref="D71:K78" si="6">D105+D138+D169+D202+D233+D266+D297+D330+D361+D394</f>
        <v>49141536.484634243</v>
      </c>
      <c r="E71" s="121">
        <f t="shared" si="6"/>
        <v>3685615.2363475682</v>
      </c>
      <c r="F71" s="121">
        <f t="shared" si="6"/>
        <v>52827151.720981814</v>
      </c>
      <c r="G71" s="121">
        <f t="shared" si="6"/>
        <v>753230449.91886675</v>
      </c>
      <c r="H71" s="121">
        <f t="shared" si="6"/>
        <v>340246600.62000006</v>
      </c>
      <c r="I71" s="121">
        <f t="shared" si="6"/>
        <v>30973788.697415002</v>
      </c>
      <c r="J71" s="121">
        <f t="shared" si="6"/>
        <v>247520714.80100214</v>
      </c>
      <c r="K71" s="275">
        <f t="shared" si="6"/>
        <v>-645763600.30937696</v>
      </c>
      <c r="L71" s="293"/>
      <c r="M71" s="121"/>
    </row>
    <row r="72" spans="1:13" x14ac:dyDescent="0.2">
      <c r="A72" s="65">
        <f t="shared" si="5"/>
        <v>47</v>
      </c>
      <c r="B72" s="118" t="s">
        <v>28</v>
      </c>
      <c r="C72" s="262">
        <v>2015</v>
      </c>
      <c r="D72" s="121">
        <f t="shared" si="6"/>
        <v>20790148.390004959</v>
      </c>
      <c r="E72" s="121">
        <f t="shared" si="6"/>
        <v>1559261.1292503718</v>
      </c>
      <c r="F72" s="121">
        <f t="shared" si="6"/>
        <v>22349409.519255329</v>
      </c>
      <c r="G72" s="121">
        <f t="shared" si="6"/>
        <v>1647416.6666666667</v>
      </c>
      <c r="H72" s="121">
        <f t="shared" si="6"/>
        <v>0</v>
      </c>
      <c r="I72" s="121">
        <f t="shared" si="6"/>
        <v>123556.25</v>
      </c>
      <c r="J72" s="275">
        <f t="shared" si="6"/>
        <v>268099151.4035908</v>
      </c>
      <c r="K72" s="121">
        <f t="shared" si="6"/>
        <v>-625185163.70678818</v>
      </c>
      <c r="L72" s="293"/>
      <c r="M72" s="121"/>
    </row>
    <row r="73" spans="1:13" x14ac:dyDescent="0.2">
      <c r="A73" s="65">
        <f t="shared" si="5"/>
        <v>48</v>
      </c>
      <c r="B73" s="130" t="s">
        <v>14</v>
      </c>
      <c r="C73" s="262">
        <v>2015</v>
      </c>
      <c r="D73" s="121">
        <f t="shared" si="6"/>
        <v>19645372.35200496</v>
      </c>
      <c r="E73" s="121">
        <f t="shared" si="6"/>
        <v>1473402.9264003718</v>
      </c>
      <c r="F73" s="121">
        <f t="shared" si="6"/>
        <v>21118775.278405331</v>
      </c>
      <c r="G73" s="121">
        <f t="shared" si="6"/>
        <v>454416.66666666669</v>
      </c>
      <c r="H73" s="121">
        <f t="shared" si="6"/>
        <v>0</v>
      </c>
      <c r="I73" s="121">
        <f t="shared" si="6"/>
        <v>34081.25</v>
      </c>
      <c r="J73" s="121">
        <f t="shared" si="6"/>
        <v>288729428.76532948</v>
      </c>
      <c r="K73" s="275">
        <f t="shared" si="6"/>
        <v>-604554886.34504962</v>
      </c>
      <c r="L73" s="293"/>
      <c r="M73" s="121"/>
    </row>
    <row r="74" spans="1:13" x14ac:dyDescent="0.2">
      <c r="A74" s="65">
        <f t="shared" si="5"/>
        <v>49</v>
      </c>
      <c r="B74" s="118" t="s">
        <v>15</v>
      </c>
      <c r="C74" s="262">
        <v>2015</v>
      </c>
      <c r="D74" s="121">
        <f t="shared" si="6"/>
        <v>24353583.149103619</v>
      </c>
      <c r="E74" s="121">
        <f t="shared" si="6"/>
        <v>1826518.7361827712</v>
      </c>
      <c r="F74" s="121">
        <f t="shared" si="6"/>
        <v>26180101.885286387</v>
      </c>
      <c r="G74" s="121">
        <f t="shared" si="6"/>
        <v>434416.66666666669</v>
      </c>
      <c r="H74" s="121">
        <f t="shared" si="6"/>
        <v>0</v>
      </c>
      <c r="I74" s="121">
        <f t="shared" si="6"/>
        <v>32581.25</v>
      </c>
      <c r="J74" s="121">
        <f t="shared" si="6"/>
        <v>314442532.73394924</v>
      </c>
      <c r="K74" s="275">
        <f t="shared" si="6"/>
        <v>-578841782.37642992</v>
      </c>
      <c r="L74" s="293"/>
      <c r="M74" s="121"/>
    </row>
    <row r="75" spans="1:13" x14ac:dyDescent="0.2">
      <c r="A75" s="65">
        <f t="shared" si="5"/>
        <v>50</v>
      </c>
      <c r="B75" s="118" t="s">
        <v>16</v>
      </c>
      <c r="C75" s="262">
        <v>2015</v>
      </c>
      <c r="D75" s="121">
        <f t="shared" si="6"/>
        <v>23337528.794817902</v>
      </c>
      <c r="E75" s="121">
        <f t="shared" si="6"/>
        <v>1750314.6596113427</v>
      </c>
      <c r="F75" s="121">
        <f t="shared" si="6"/>
        <v>25087843.454429246</v>
      </c>
      <c r="G75" s="121">
        <f t="shared" si="6"/>
        <v>404416.66666666669</v>
      </c>
      <c r="H75" s="121">
        <f t="shared" si="6"/>
        <v>0</v>
      </c>
      <c r="I75" s="121">
        <f t="shared" si="6"/>
        <v>30331.25</v>
      </c>
      <c r="J75" s="121">
        <f t="shared" si="6"/>
        <v>339095628.27171177</v>
      </c>
      <c r="K75" s="274">
        <f t="shared" si="6"/>
        <v>-554188686.83866727</v>
      </c>
      <c r="L75" s="293"/>
      <c r="M75" s="121"/>
    </row>
    <row r="76" spans="1:13" x14ac:dyDescent="0.2">
      <c r="A76" s="65">
        <f t="shared" si="5"/>
        <v>51</v>
      </c>
      <c r="B76" s="118" t="s">
        <v>18</v>
      </c>
      <c r="C76" s="262">
        <v>2015</v>
      </c>
      <c r="D76" s="121">
        <f>D110+D143+D174+D207+D238+D271+D302+D335+D366</f>
        <v>31468059.652913146</v>
      </c>
      <c r="E76" s="121">
        <f>E110+E143+E174+E207+E238+E271+E302+E335+E366+E399</f>
        <v>2360104.4739684858</v>
      </c>
      <c r="F76" s="121">
        <f t="shared" si="6"/>
        <v>33828164.126881622</v>
      </c>
      <c r="G76" s="121">
        <f t="shared" si="6"/>
        <v>2904416.6666666665</v>
      </c>
      <c r="H76" s="121">
        <f t="shared" si="6"/>
        <v>0</v>
      </c>
      <c r="I76" s="121">
        <f t="shared" si="6"/>
        <v>217831.25</v>
      </c>
      <c r="J76" s="275">
        <f t="shared" si="6"/>
        <v>369801544.4819268</v>
      </c>
      <c r="K76" s="463">
        <f t="shared" si="6"/>
        <v>-523482770.6284523</v>
      </c>
      <c r="L76" s="293"/>
      <c r="M76" s="121"/>
    </row>
    <row r="77" spans="1:13" x14ac:dyDescent="0.2">
      <c r="A77" s="65">
        <f t="shared" si="5"/>
        <v>52</v>
      </c>
      <c r="B77" s="118" t="s">
        <v>17</v>
      </c>
      <c r="C77" s="262">
        <v>2015</v>
      </c>
      <c r="D77" s="121">
        <f>D111+D144+D175+D208+D239+D272+D303+D336+D367</f>
        <v>35501233.029398933</v>
      </c>
      <c r="E77" s="121">
        <f>E111+E144+E175+E208+E239+E272+E303+E336+E367+E400</f>
        <v>2662592.4772049203</v>
      </c>
      <c r="F77" s="121">
        <f t="shared" si="6"/>
        <v>38163825.506603852</v>
      </c>
      <c r="G77" s="121">
        <f t="shared" si="6"/>
        <v>2954416.6666666665</v>
      </c>
      <c r="H77" s="121">
        <f t="shared" si="6"/>
        <v>0</v>
      </c>
      <c r="I77" s="121">
        <f t="shared" si="6"/>
        <v>221581.25</v>
      </c>
      <c r="J77" s="121">
        <f t="shared" si="6"/>
        <v>404789372.07186401</v>
      </c>
      <c r="K77" s="274">
        <f t="shared" si="6"/>
        <v>-488494943.03851509</v>
      </c>
      <c r="L77" s="293"/>
      <c r="M77" s="121"/>
    </row>
    <row r="78" spans="1:13" x14ac:dyDescent="0.2">
      <c r="A78" s="65">
        <f t="shared" si="5"/>
        <v>53</v>
      </c>
      <c r="B78" s="118" t="s">
        <v>9</v>
      </c>
      <c r="C78" s="262">
        <v>2015</v>
      </c>
      <c r="D78" s="121">
        <f>D112+D145+D176+D209+D240+D273+D304+D337+D368+D401</f>
        <v>51300813.032174356</v>
      </c>
      <c r="E78" s="121">
        <f>E112+E145+E176+E209+E240+E273+E304+E337+E368+E401</f>
        <v>3847560.9774130764</v>
      </c>
      <c r="F78" s="121">
        <f t="shared" si="6"/>
        <v>55148374.009587437</v>
      </c>
      <c r="G78" s="121">
        <f t="shared" si="6"/>
        <v>23691416.666666668</v>
      </c>
      <c r="H78" s="121">
        <f t="shared" si="6"/>
        <v>0</v>
      </c>
      <c r="I78" s="121">
        <f t="shared" si="6"/>
        <v>1776856.25</v>
      </c>
      <c r="J78" s="121">
        <f t="shared" si="6"/>
        <v>434469473.16478473</v>
      </c>
      <c r="K78" s="273">
        <f>K112+K145+K176+K209+K240+K273+K304+K337+K368+K401</f>
        <v>-458814841.94559437</v>
      </c>
      <c r="L78" s="292"/>
      <c r="M78" s="121"/>
    </row>
    <row r="79" spans="1:13" x14ac:dyDescent="0.2">
      <c r="A79" s="65">
        <f t="shared" si="5"/>
        <v>54</v>
      </c>
      <c r="C79" s="259" t="s">
        <v>343</v>
      </c>
      <c r="K79" s="258">
        <f>AVERAGE(K66:K78)</f>
        <v>-337694664.72595268</v>
      </c>
      <c r="L79" s="291"/>
    </row>
    <row r="81" spans="1:11" x14ac:dyDescent="0.2">
      <c r="B81" s="290" t="s">
        <v>373</v>
      </c>
    </row>
    <row r="82" spans="1:11" s="248" customFormat="1" x14ac:dyDescent="0.2">
      <c r="B82" s="269" t="s">
        <v>372</v>
      </c>
      <c r="D82" s="548" t="s">
        <v>371</v>
      </c>
      <c r="E82" s="548"/>
    </row>
    <row r="83" spans="1:11" s="263" customFormat="1" x14ac:dyDescent="0.2">
      <c r="D83" s="263" t="s">
        <v>167</v>
      </c>
      <c r="E83" s="263" t="s">
        <v>168</v>
      </c>
      <c r="F83" s="263" t="s">
        <v>184</v>
      </c>
      <c r="G83" s="263" t="s">
        <v>185</v>
      </c>
      <c r="H83" s="263" t="s">
        <v>186</v>
      </c>
      <c r="I83" s="263" t="s">
        <v>187</v>
      </c>
      <c r="J83" s="263" t="s">
        <v>188</v>
      </c>
      <c r="K83" s="263" t="s">
        <v>350</v>
      </c>
    </row>
    <row r="84" spans="1:11" s="248" customFormat="1" ht="25.9" customHeight="1" x14ac:dyDescent="0.2">
      <c r="D84" s="265"/>
      <c r="E84" s="264" t="s">
        <v>349</v>
      </c>
      <c r="F84" s="252" t="s">
        <v>348</v>
      </c>
      <c r="G84" s="266"/>
      <c r="H84" s="265"/>
      <c r="I84" s="264" t="s">
        <v>347</v>
      </c>
      <c r="J84" s="264" t="s">
        <v>346</v>
      </c>
      <c r="K84" s="264" t="s">
        <v>345</v>
      </c>
    </row>
    <row r="85" spans="1:11" s="248" customFormat="1" x14ac:dyDescent="0.2">
      <c r="D85" s="265"/>
      <c r="E85" s="289"/>
      <c r="F85" s="289"/>
      <c r="G85" s="60" t="str">
        <f>G51</f>
        <v>Unloaded</v>
      </c>
      <c r="H85" s="265"/>
      <c r="I85" s="289"/>
      <c r="J85" s="289"/>
      <c r="K85" s="60"/>
    </row>
    <row r="86" spans="1:11" s="255" customFormat="1" x14ac:dyDescent="0.2">
      <c r="D86" s="255" t="str">
        <f>D$52</f>
        <v>Forecast</v>
      </c>
      <c r="E86" s="255" t="str">
        <f t="shared" ref="E86:J86" si="7">E$52</f>
        <v>Corporate</v>
      </c>
      <c r="F86" s="255" t="str">
        <f t="shared" si="7"/>
        <v xml:space="preserve">Total </v>
      </c>
      <c r="G86" s="60" t="str">
        <f>G52</f>
        <v>Total</v>
      </c>
      <c r="H86" s="255" t="str">
        <f t="shared" si="7"/>
        <v>Prior Period</v>
      </c>
      <c r="I86" s="255" t="str">
        <f t="shared" si="7"/>
        <v>Over Heads</v>
      </c>
      <c r="J86" s="255" t="str">
        <f t="shared" si="7"/>
        <v>Forecast</v>
      </c>
      <c r="K86" s="60" t="str">
        <f>K$52</f>
        <v>Forecast Period</v>
      </c>
    </row>
    <row r="87" spans="1:11" s="248" customFormat="1" x14ac:dyDescent="0.2">
      <c r="A87" s="102" t="s">
        <v>170</v>
      </c>
      <c r="B87" s="128" t="s">
        <v>19</v>
      </c>
      <c r="C87" s="128" t="s">
        <v>20</v>
      </c>
      <c r="D87" s="263" t="str">
        <f>D$53</f>
        <v>Expenditures</v>
      </c>
      <c r="E87" s="263" t="str">
        <f t="shared" ref="E87:J87" si="8">E$53</f>
        <v>Overheads</v>
      </c>
      <c r="F87" s="263" t="str">
        <f t="shared" si="8"/>
        <v>CWIP Exp</v>
      </c>
      <c r="G87" s="64" t="str">
        <f>G53</f>
        <v>Plant Adds</v>
      </c>
      <c r="H87" s="263" t="str">
        <f t="shared" si="8"/>
        <v>CWIP Closed</v>
      </c>
      <c r="I87" s="263" t="str">
        <f t="shared" si="8"/>
        <v>Closed to PIS</v>
      </c>
      <c r="J87" s="263" t="str">
        <f t="shared" si="8"/>
        <v>Period CWIP</v>
      </c>
      <c r="K87" s="263" t="str">
        <f>K$53</f>
        <v>Incremental CWIP</v>
      </c>
    </row>
    <row r="88" spans="1:11" s="248" customFormat="1" x14ac:dyDescent="0.2">
      <c r="A88" s="65">
        <f>A79+1</f>
        <v>55</v>
      </c>
      <c r="B88" s="130" t="s">
        <v>9</v>
      </c>
      <c r="C88" s="262">
        <v>2013</v>
      </c>
      <c r="D88" s="252" t="s">
        <v>344</v>
      </c>
      <c r="E88" s="252" t="s">
        <v>344</v>
      </c>
      <c r="F88" s="252" t="s">
        <v>344</v>
      </c>
      <c r="G88" s="252" t="s">
        <v>344</v>
      </c>
      <c r="H88" s="252" t="s">
        <v>344</v>
      </c>
      <c r="I88" s="252" t="s">
        <v>344</v>
      </c>
      <c r="J88" s="88">
        <f>E25</f>
        <v>815393483.95000005</v>
      </c>
      <c r="K88" s="252" t="s">
        <v>344</v>
      </c>
    </row>
    <row r="89" spans="1:11" s="248" customFormat="1" x14ac:dyDescent="0.2">
      <c r="A89" s="65">
        <f>A88+1</f>
        <v>56</v>
      </c>
      <c r="B89" s="130" t="s">
        <v>10</v>
      </c>
      <c r="C89" s="262">
        <v>2014</v>
      </c>
      <c r="D89" s="261">
        <v>5615240.3100000005</v>
      </c>
      <c r="E89" s="88">
        <v>421143.02325000003</v>
      </c>
      <c r="F89" s="88">
        <f>E89+D89</f>
        <v>6036383.3332500001</v>
      </c>
      <c r="G89" s="261">
        <v>5514397.709999999</v>
      </c>
      <c r="H89" s="261">
        <v>5317683.8899999987</v>
      </c>
      <c r="I89" s="88">
        <v>14753.536500000022</v>
      </c>
      <c r="J89" s="88">
        <f>J88+F89-G89-I89</f>
        <v>815900716.03675008</v>
      </c>
      <c r="K89" s="88">
        <f>J89-$J$88</f>
        <v>507232.08675003052</v>
      </c>
    </row>
    <row r="90" spans="1:11" s="248" customFormat="1" x14ac:dyDescent="0.2">
      <c r="A90" s="65">
        <f t="shared" ref="A90:A108" si="9">A89+1</f>
        <v>57</v>
      </c>
      <c r="B90" s="118" t="s">
        <v>11</v>
      </c>
      <c r="C90" s="262">
        <v>2014</v>
      </c>
      <c r="D90" s="261">
        <v>22437471.630000006</v>
      </c>
      <c r="E90" s="88">
        <v>1682810.3722500005</v>
      </c>
      <c r="F90" s="88">
        <f t="shared" ref="F90:F112" si="10">E90+D90</f>
        <v>24120282.002250008</v>
      </c>
      <c r="G90" s="261">
        <v>181291.61999999997</v>
      </c>
      <c r="H90" s="261">
        <v>0</v>
      </c>
      <c r="I90" s="88">
        <v>13596.871499999997</v>
      </c>
      <c r="J90" s="88">
        <f t="shared" ref="J90:J108" si="11">J89+F90-G90-I90</f>
        <v>839826109.54750001</v>
      </c>
      <c r="K90" s="88">
        <f t="shared" ref="K90:K112" si="12">J90-$J$88</f>
        <v>24432625.597499967</v>
      </c>
    </row>
    <row r="91" spans="1:11" s="248" customFormat="1" x14ac:dyDescent="0.2">
      <c r="A91" s="65">
        <f t="shared" si="9"/>
        <v>58</v>
      </c>
      <c r="B91" s="118" t="s">
        <v>21</v>
      </c>
      <c r="C91" s="262">
        <v>2014</v>
      </c>
      <c r="D91" s="261">
        <v>15428088.26</v>
      </c>
      <c r="E91" s="88">
        <v>1157106.6195</v>
      </c>
      <c r="F91" s="88">
        <f t="shared" si="10"/>
        <v>16585194.8795</v>
      </c>
      <c r="G91" s="261">
        <v>279689875.02999997</v>
      </c>
      <c r="H91" s="261">
        <v>270832511.45999998</v>
      </c>
      <c r="I91" s="88">
        <v>664302.26774999942</v>
      </c>
      <c r="J91" s="88">
        <f t="shared" si="11"/>
        <v>576057127.12925005</v>
      </c>
      <c r="K91" s="88">
        <f t="shared" si="12"/>
        <v>-239336356.82075</v>
      </c>
    </row>
    <row r="92" spans="1:11" s="248" customFormat="1" x14ac:dyDescent="0.2">
      <c r="A92" s="65">
        <f t="shared" si="9"/>
        <v>59</v>
      </c>
      <c r="B92" s="130" t="s">
        <v>12</v>
      </c>
      <c r="C92" s="262">
        <v>2014</v>
      </c>
      <c r="D92" s="261">
        <v>38655458.920000002</v>
      </c>
      <c r="E92" s="88">
        <v>2899159.4190000002</v>
      </c>
      <c r="F92" s="88">
        <f t="shared" si="10"/>
        <v>41554618.339000002</v>
      </c>
      <c r="G92" s="261">
        <v>15316268.279999999</v>
      </c>
      <c r="H92" s="261">
        <v>0</v>
      </c>
      <c r="I92" s="88">
        <v>1148720.1209999998</v>
      </c>
      <c r="J92" s="88">
        <f t="shared" si="11"/>
        <v>601146757.06725001</v>
      </c>
      <c r="K92" s="88">
        <f t="shared" si="12"/>
        <v>-214246726.88275003</v>
      </c>
    </row>
    <row r="93" spans="1:11" s="248" customFormat="1" x14ac:dyDescent="0.2">
      <c r="A93" s="65">
        <f t="shared" si="9"/>
        <v>60</v>
      </c>
      <c r="B93" s="118" t="s">
        <v>13</v>
      </c>
      <c r="C93" s="262">
        <v>2014</v>
      </c>
      <c r="D93" s="261">
        <v>53902373.377499998</v>
      </c>
      <c r="E93" s="88">
        <v>4042678.0033124997</v>
      </c>
      <c r="F93" s="88">
        <f t="shared" si="10"/>
        <v>57945051.380812496</v>
      </c>
      <c r="G93" s="261">
        <v>5627450</v>
      </c>
      <c r="H93" s="261">
        <v>0</v>
      </c>
      <c r="I93" s="88">
        <v>422058.75</v>
      </c>
      <c r="J93" s="88">
        <f t="shared" si="11"/>
        <v>653042299.69806254</v>
      </c>
      <c r="K93" s="88">
        <f t="shared" si="12"/>
        <v>-162351184.25193751</v>
      </c>
    </row>
    <row r="94" spans="1:11" s="248" customFormat="1" x14ac:dyDescent="0.2">
      <c r="A94" s="65">
        <f t="shared" si="9"/>
        <v>61</v>
      </c>
      <c r="B94" s="118" t="s">
        <v>28</v>
      </c>
      <c r="C94" s="262">
        <v>2014</v>
      </c>
      <c r="D94" s="261">
        <v>46244912.176000006</v>
      </c>
      <c r="E94" s="88">
        <v>3468368.4132000003</v>
      </c>
      <c r="F94" s="88">
        <f t="shared" si="10"/>
        <v>49713280.589200005</v>
      </c>
      <c r="G94" s="261">
        <v>5514450</v>
      </c>
      <c r="H94" s="261">
        <v>0</v>
      </c>
      <c r="I94" s="88">
        <v>413583.75</v>
      </c>
      <c r="J94" s="88">
        <f t="shared" si="11"/>
        <v>696827546.53726256</v>
      </c>
      <c r="K94" s="88">
        <f t="shared" si="12"/>
        <v>-118565937.41273749</v>
      </c>
    </row>
    <row r="95" spans="1:11" s="248" customFormat="1" x14ac:dyDescent="0.2">
      <c r="A95" s="65">
        <f t="shared" si="9"/>
        <v>62</v>
      </c>
      <c r="B95" s="130" t="s">
        <v>14</v>
      </c>
      <c r="C95" s="262">
        <v>2014</v>
      </c>
      <c r="D95" s="261">
        <v>47106880.480000012</v>
      </c>
      <c r="E95" s="88">
        <v>3533016.0360000008</v>
      </c>
      <c r="F95" s="88">
        <f t="shared" si="10"/>
        <v>50639896.51600001</v>
      </c>
      <c r="G95" s="261">
        <v>29182122.730000004</v>
      </c>
      <c r="H95" s="261">
        <v>22630286.590000004</v>
      </c>
      <c r="I95" s="88">
        <v>491387.71050000004</v>
      </c>
      <c r="J95" s="88">
        <f t="shared" si="11"/>
        <v>717793932.61276257</v>
      </c>
      <c r="K95" s="88">
        <f t="shared" si="12"/>
        <v>-97599551.337237477</v>
      </c>
    </row>
    <row r="96" spans="1:11" s="248" customFormat="1" x14ac:dyDescent="0.2">
      <c r="A96" s="65">
        <f t="shared" si="9"/>
        <v>63</v>
      </c>
      <c r="B96" s="118" t="s">
        <v>15</v>
      </c>
      <c r="C96" s="262">
        <v>2014</v>
      </c>
      <c r="D96" s="261">
        <v>45041071.500000015</v>
      </c>
      <c r="E96" s="88">
        <v>3378080.3625000012</v>
      </c>
      <c r="F96" s="88">
        <f t="shared" si="10"/>
        <v>48419151.862500019</v>
      </c>
      <c r="G96" s="261">
        <v>5709450</v>
      </c>
      <c r="H96" s="261">
        <v>0</v>
      </c>
      <c r="I96" s="88">
        <v>428208.75</v>
      </c>
      <c r="J96" s="88">
        <f t="shared" si="11"/>
        <v>760075425.72526264</v>
      </c>
      <c r="K96" s="88">
        <f t="shared" si="12"/>
        <v>-55318058.224737406</v>
      </c>
    </row>
    <row r="97" spans="1:11" s="248" customFormat="1" x14ac:dyDescent="0.2">
      <c r="A97" s="65">
        <f t="shared" si="9"/>
        <v>64</v>
      </c>
      <c r="B97" s="118" t="s">
        <v>16</v>
      </c>
      <c r="C97" s="262">
        <v>2014</v>
      </c>
      <c r="D97" s="261">
        <v>47104423.020000011</v>
      </c>
      <c r="E97" s="88">
        <v>3532831.7265000008</v>
      </c>
      <c r="F97" s="88">
        <f t="shared" si="10"/>
        <v>50637254.746500015</v>
      </c>
      <c r="G97" s="261">
        <v>12970323.059999999</v>
      </c>
      <c r="H97" s="261">
        <v>3100505.1500000004</v>
      </c>
      <c r="I97" s="88">
        <v>740236.3432499998</v>
      </c>
      <c r="J97" s="88">
        <f t="shared" si="11"/>
        <v>797002121.06851268</v>
      </c>
      <c r="K97" s="88">
        <f t="shared" si="12"/>
        <v>-18391362.88148737</v>
      </c>
    </row>
    <row r="98" spans="1:11" s="248" customFormat="1" x14ac:dyDescent="0.2">
      <c r="A98" s="65">
        <f t="shared" si="9"/>
        <v>65</v>
      </c>
      <c r="B98" s="130" t="s">
        <v>18</v>
      </c>
      <c r="C98" s="262">
        <v>2014</v>
      </c>
      <c r="D98" s="261">
        <v>46004079.280000016</v>
      </c>
      <c r="E98" s="88">
        <v>3450305.9460000009</v>
      </c>
      <c r="F98" s="88">
        <f t="shared" si="10"/>
        <v>49454385.226000018</v>
      </c>
      <c r="G98" s="261">
        <v>5417450</v>
      </c>
      <c r="H98" s="261">
        <v>0</v>
      </c>
      <c r="I98" s="88">
        <v>406308.75</v>
      </c>
      <c r="J98" s="88">
        <f t="shared" si="11"/>
        <v>840632747.54451275</v>
      </c>
      <c r="K98" s="88">
        <f t="shared" si="12"/>
        <v>25239263.594512701</v>
      </c>
    </row>
    <row r="99" spans="1:11" s="248" customFormat="1" x14ac:dyDescent="0.2">
      <c r="A99" s="65">
        <f t="shared" si="9"/>
        <v>66</v>
      </c>
      <c r="B99" s="130" t="s">
        <v>17</v>
      </c>
      <c r="C99" s="262">
        <v>2014</v>
      </c>
      <c r="D99" s="261">
        <v>44340784.000000007</v>
      </c>
      <c r="E99" s="88">
        <v>3325558.8000000003</v>
      </c>
      <c r="F99" s="88">
        <f t="shared" si="10"/>
        <v>47666342.800000004</v>
      </c>
      <c r="G99" s="261">
        <v>5971450</v>
      </c>
      <c r="H99" s="261">
        <v>0</v>
      </c>
      <c r="I99" s="88">
        <v>447858.75</v>
      </c>
      <c r="J99" s="88">
        <f t="shared" si="11"/>
        <v>881879781.5945127</v>
      </c>
      <c r="K99" s="88">
        <f t="shared" si="12"/>
        <v>66486297.644512653</v>
      </c>
    </row>
    <row r="100" spans="1:11" s="248" customFormat="1" x14ac:dyDescent="0.2">
      <c r="A100" s="65">
        <f t="shared" si="9"/>
        <v>67</v>
      </c>
      <c r="B100" s="130" t="s">
        <v>9</v>
      </c>
      <c r="C100" s="262">
        <v>2014</v>
      </c>
      <c r="D100" s="261">
        <v>49606347.242700011</v>
      </c>
      <c r="E100" s="88">
        <v>3720476.0432025008</v>
      </c>
      <c r="F100" s="88">
        <f t="shared" si="10"/>
        <v>53326823.285902515</v>
      </c>
      <c r="G100" s="261">
        <v>42142942.992000014</v>
      </c>
      <c r="H100" s="261">
        <v>31532041.120000005</v>
      </c>
      <c r="I100" s="88">
        <v>795817.64040000062</v>
      </c>
      <c r="J100" s="88">
        <f t="shared" si="11"/>
        <v>892267844.24801517</v>
      </c>
      <c r="K100" s="88">
        <f t="shared" si="12"/>
        <v>76874360.298015118</v>
      </c>
    </row>
    <row r="101" spans="1:11" s="248" customFormat="1" x14ac:dyDescent="0.2">
      <c r="A101" s="65">
        <f t="shared" si="9"/>
        <v>68</v>
      </c>
      <c r="B101" s="130" t="s">
        <v>10</v>
      </c>
      <c r="C101" s="262">
        <v>2015</v>
      </c>
      <c r="D101" s="261">
        <v>50692333.333333328</v>
      </c>
      <c r="E101" s="88">
        <v>3801924.9999999995</v>
      </c>
      <c r="F101" s="88">
        <f t="shared" si="10"/>
        <v>54494258.333333328</v>
      </c>
      <c r="G101" s="261">
        <v>195703445.03199998</v>
      </c>
      <c r="H101" s="261">
        <v>122158503.50999999</v>
      </c>
      <c r="I101" s="88">
        <v>5515870.6141499989</v>
      </c>
      <c r="J101" s="88">
        <f t="shared" si="11"/>
        <v>745542786.93519855</v>
      </c>
      <c r="K101" s="88">
        <f t="shared" si="12"/>
        <v>-69850697.014801502</v>
      </c>
    </row>
    <row r="102" spans="1:11" s="248" customFormat="1" x14ac:dyDescent="0.2">
      <c r="A102" s="65">
        <f t="shared" si="9"/>
        <v>69</v>
      </c>
      <c r="B102" s="118" t="s">
        <v>11</v>
      </c>
      <c r="C102" s="262">
        <v>2015</v>
      </c>
      <c r="D102" s="261">
        <v>50693750</v>
      </c>
      <c r="E102" s="88">
        <v>3802031.25</v>
      </c>
      <c r="F102" s="88">
        <f t="shared" si="10"/>
        <v>54495781.25</v>
      </c>
      <c r="G102" s="261">
        <v>6353096.8566666674</v>
      </c>
      <c r="H102" s="261">
        <v>2453680.1900000009</v>
      </c>
      <c r="I102" s="88">
        <v>292456.25</v>
      </c>
      <c r="J102" s="88">
        <f t="shared" si="11"/>
        <v>793393015.07853186</v>
      </c>
      <c r="K102" s="88">
        <f t="shared" si="12"/>
        <v>-22000468.871468186</v>
      </c>
    </row>
    <row r="103" spans="1:11" s="248" customFormat="1" x14ac:dyDescent="0.2">
      <c r="A103" s="65">
        <f t="shared" si="9"/>
        <v>70</v>
      </c>
      <c r="B103" s="118" t="s">
        <v>21</v>
      </c>
      <c r="C103" s="262">
        <v>2015</v>
      </c>
      <c r="D103" s="261">
        <v>50693750</v>
      </c>
      <c r="E103" s="88">
        <v>3802031.25</v>
      </c>
      <c r="F103" s="88">
        <f t="shared" si="10"/>
        <v>54495781.25</v>
      </c>
      <c r="G103" s="261">
        <v>6180416.666666666</v>
      </c>
      <c r="H103" s="261">
        <v>0</v>
      </c>
      <c r="I103" s="88">
        <v>463531.24999999994</v>
      </c>
      <c r="J103" s="88">
        <f t="shared" si="11"/>
        <v>841244848.41186523</v>
      </c>
      <c r="K103" s="88">
        <f t="shared" si="12"/>
        <v>25851364.461865187</v>
      </c>
    </row>
    <row r="104" spans="1:11" s="248" customFormat="1" x14ac:dyDescent="0.2">
      <c r="A104" s="65">
        <f t="shared" si="9"/>
        <v>71</v>
      </c>
      <c r="B104" s="130" t="s">
        <v>12</v>
      </c>
      <c r="C104" s="262">
        <v>2015</v>
      </c>
      <c r="D104" s="261">
        <v>44817750</v>
      </c>
      <c r="E104" s="88">
        <v>3361331.25</v>
      </c>
      <c r="F104" s="88">
        <f t="shared" si="10"/>
        <v>48179081.25</v>
      </c>
      <c r="G104" s="261">
        <v>304416.66666666669</v>
      </c>
      <c r="H104" s="261">
        <v>0</v>
      </c>
      <c r="I104" s="88">
        <v>22831.25</v>
      </c>
      <c r="J104" s="88">
        <f t="shared" si="11"/>
        <v>889096681.74519861</v>
      </c>
      <c r="K104" s="88">
        <f t="shared" si="12"/>
        <v>73703197.79519856</v>
      </c>
    </row>
    <row r="105" spans="1:11" s="248" customFormat="1" x14ac:dyDescent="0.2">
      <c r="A105" s="65">
        <f t="shared" si="9"/>
        <v>72</v>
      </c>
      <c r="B105" s="118" t="s">
        <v>13</v>
      </c>
      <c r="C105" s="262">
        <v>2015</v>
      </c>
      <c r="D105" s="261">
        <v>44817750</v>
      </c>
      <c r="E105" s="88">
        <v>3361331.25</v>
      </c>
      <c r="F105" s="88">
        <f t="shared" si="10"/>
        <v>48179081.25</v>
      </c>
      <c r="G105" s="261">
        <v>750080449.91886675</v>
      </c>
      <c r="H105" s="261">
        <v>340246600.62000006</v>
      </c>
      <c r="I105" s="88">
        <v>30737538.697415002</v>
      </c>
      <c r="J105" s="88">
        <f t="shared" si="11"/>
        <v>156457774.37891686</v>
      </c>
      <c r="K105" s="88">
        <f t="shared" si="12"/>
        <v>-658935709.57108319</v>
      </c>
    </row>
    <row r="106" spans="1:11" s="248" customFormat="1" x14ac:dyDescent="0.2">
      <c r="A106" s="65">
        <f t="shared" si="9"/>
        <v>73</v>
      </c>
      <c r="B106" s="118" t="s">
        <v>28</v>
      </c>
      <c r="C106" s="262">
        <v>2015</v>
      </c>
      <c r="D106" s="261">
        <v>16617750</v>
      </c>
      <c r="E106" s="88">
        <v>1246331.25</v>
      </c>
      <c r="F106" s="88">
        <f t="shared" si="10"/>
        <v>17864081.25</v>
      </c>
      <c r="G106" s="261">
        <v>304416.66666666669</v>
      </c>
      <c r="H106" s="261">
        <v>0</v>
      </c>
      <c r="I106" s="88">
        <v>22831.25</v>
      </c>
      <c r="J106" s="88">
        <f t="shared" si="11"/>
        <v>173994607.7122502</v>
      </c>
      <c r="K106" s="88">
        <f t="shared" si="12"/>
        <v>-641398876.23774981</v>
      </c>
    </row>
    <row r="107" spans="1:11" s="248" customFormat="1" x14ac:dyDescent="0.2">
      <c r="A107" s="65">
        <f t="shared" si="9"/>
        <v>74</v>
      </c>
      <c r="B107" s="130" t="s">
        <v>14</v>
      </c>
      <c r="C107" s="262">
        <v>2015</v>
      </c>
      <c r="D107" s="261">
        <v>16617750</v>
      </c>
      <c r="E107" s="88">
        <v>1246331.25</v>
      </c>
      <c r="F107" s="88">
        <f t="shared" si="10"/>
        <v>17864081.25</v>
      </c>
      <c r="G107" s="261">
        <v>304416.66666666669</v>
      </c>
      <c r="H107" s="261">
        <v>0</v>
      </c>
      <c r="I107" s="88">
        <v>22831.25</v>
      </c>
      <c r="J107" s="88">
        <f t="shared" si="11"/>
        <v>191531441.04558355</v>
      </c>
      <c r="K107" s="88">
        <f t="shared" si="12"/>
        <v>-623862042.90441656</v>
      </c>
    </row>
    <row r="108" spans="1:11" s="248" customFormat="1" x14ac:dyDescent="0.2">
      <c r="A108" s="65">
        <f t="shared" si="9"/>
        <v>75</v>
      </c>
      <c r="B108" s="118" t="s">
        <v>15</v>
      </c>
      <c r="C108" s="262">
        <v>2015</v>
      </c>
      <c r="D108" s="261">
        <v>16617750</v>
      </c>
      <c r="E108" s="88">
        <v>1246331.25</v>
      </c>
      <c r="F108" s="88">
        <f t="shared" si="10"/>
        <v>17864081.25</v>
      </c>
      <c r="G108" s="261">
        <v>304416.66666666669</v>
      </c>
      <c r="H108" s="261">
        <v>0</v>
      </c>
      <c r="I108" s="88">
        <v>22831.25</v>
      </c>
      <c r="J108" s="88">
        <f t="shared" si="11"/>
        <v>209068274.37891689</v>
      </c>
      <c r="K108" s="88">
        <f t="shared" si="12"/>
        <v>-606325209.57108319</v>
      </c>
    </row>
    <row r="109" spans="1:11" s="248" customFormat="1" x14ac:dyDescent="0.2">
      <c r="A109" s="65">
        <f>A108+1</f>
        <v>76</v>
      </c>
      <c r="B109" s="118" t="s">
        <v>16</v>
      </c>
      <c r="C109" s="262">
        <v>2015</v>
      </c>
      <c r="D109" s="261">
        <v>16617750</v>
      </c>
      <c r="E109" s="88">
        <v>1246331.25</v>
      </c>
      <c r="F109" s="88">
        <f t="shared" si="10"/>
        <v>17864081.25</v>
      </c>
      <c r="G109" s="261">
        <v>304416.66666666669</v>
      </c>
      <c r="H109" s="261">
        <v>0</v>
      </c>
      <c r="I109" s="88">
        <v>22831.25</v>
      </c>
      <c r="J109" s="88">
        <f>J108+F109-G109-I109</f>
        <v>226605107.71225023</v>
      </c>
      <c r="K109" s="88">
        <f t="shared" si="12"/>
        <v>-588788376.23774981</v>
      </c>
    </row>
    <row r="110" spans="1:11" s="248" customFormat="1" x14ac:dyDescent="0.2">
      <c r="A110" s="65">
        <f t="shared" ref="A110:A113" si="13">A109+1</f>
        <v>77</v>
      </c>
      <c r="B110" s="118" t="s">
        <v>18</v>
      </c>
      <c r="C110" s="262">
        <v>2015</v>
      </c>
      <c r="D110" s="261">
        <v>16617750</v>
      </c>
      <c r="E110" s="88">
        <v>1246331.25</v>
      </c>
      <c r="F110" s="88">
        <f t="shared" si="10"/>
        <v>17864081.25</v>
      </c>
      <c r="G110" s="261">
        <v>304416.66666666669</v>
      </c>
      <c r="H110" s="261">
        <v>0</v>
      </c>
      <c r="I110" s="88">
        <v>22831.25</v>
      </c>
      <c r="J110" s="88">
        <f t="shared" ref="J110:J112" si="14">J109+F110-G110-I110</f>
        <v>244141941.04558358</v>
      </c>
      <c r="K110" s="88">
        <f t="shared" si="12"/>
        <v>-571251542.90441644</v>
      </c>
    </row>
    <row r="111" spans="1:11" s="248" customFormat="1" x14ac:dyDescent="0.2">
      <c r="A111" s="65">
        <f t="shared" si="13"/>
        <v>78</v>
      </c>
      <c r="B111" s="118" t="s">
        <v>17</v>
      </c>
      <c r="C111" s="262">
        <v>2015</v>
      </c>
      <c r="D111" s="261">
        <v>16617750</v>
      </c>
      <c r="E111" s="88">
        <v>1246331.25</v>
      </c>
      <c r="F111" s="88">
        <f t="shared" si="10"/>
        <v>17864081.25</v>
      </c>
      <c r="G111" s="261">
        <v>304416.66666666669</v>
      </c>
      <c r="H111" s="261">
        <v>0</v>
      </c>
      <c r="I111" s="88">
        <v>22831.25</v>
      </c>
      <c r="J111" s="88">
        <f t="shared" si="14"/>
        <v>261678774.37891692</v>
      </c>
      <c r="K111" s="88">
        <f t="shared" si="12"/>
        <v>-553714709.57108307</v>
      </c>
    </row>
    <row r="112" spans="1:11" s="248" customFormat="1" x14ac:dyDescent="0.2">
      <c r="A112" s="65">
        <f t="shared" si="13"/>
        <v>79</v>
      </c>
      <c r="B112" s="118" t="s">
        <v>9</v>
      </c>
      <c r="C112" s="262">
        <v>2015</v>
      </c>
      <c r="D112" s="261">
        <v>24204750</v>
      </c>
      <c r="E112" s="88">
        <v>1815356.25</v>
      </c>
      <c r="F112" s="88">
        <f t="shared" si="10"/>
        <v>26020106.25</v>
      </c>
      <c r="G112" s="261">
        <v>7891416.666666667</v>
      </c>
      <c r="H112" s="261">
        <v>0</v>
      </c>
      <c r="I112" s="88">
        <v>591856.25</v>
      </c>
      <c r="J112" s="88">
        <f t="shared" si="14"/>
        <v>279215607.71225023</v>
      </c>
      <c r="K112" s="260">
        <f t="shared" si="12"/>
        <v>-536177876.23774981</v>
      </c>
    </row>
    <row r="113" spans="1:11" s="248" customFormat="1" x14ac:dyDescent="0.2">
      <c r="A113" s="65">
        <f t="shared" si="13"/>
        <v>80</v>
      </c>
      <c r="B113"/>
      <c r="C113" s="259" t="s">
        <v>343</v>
      </c>
      <c r="D113"/>
      <c r="E113"/>
      <c r="F113"/>
      <c r="G113"/>
      <c r="H113"/>
      <c r="I113"/>
      <c r="J113"/>
      <c r="K113" s="258">
        <f>AVERAGE(K100:K112)</f>
        <v>-361221275.88973248</v>
      </c>
    </row>
    <row r="114" spans="1:11" s="248" customFormat="1" x14ac:dyDescent="0.2">
      <c r="A114" s="65"/>
      <c r="B114"/>
      <c r="C114" s="259"/>
      <c r="D114"/>
      <c r="E114"/>
      <c r="F114"/>
      <c r="G114"/>
      <c r="H114"/>
      <c r="I114"/>
      <c r="J114"/>
      <c r="K114" s="258"/>
    </row>
    <row r="115" spans="1:11" s="248" customFormat="1" x14ac:dyDescent="0.2">
      <c r="B115" s="269" t="s">
        <v>370</v>
      </c>
      <c r="D115" s="548" t="s">
        <v>369</v>
      </c>
      <c r="E115" s="548"/>
    </row>
    <row r="116" spans="1:11" s="248" customFormat="1" x14ac:dyDescent="0.2">
      <c r="A116" s="263"/>
      <c r="B116" s="263"/>
      <c r="C116" s="263"/>
      <c r="D116" s="263" t="s">
        <v>167</v>
      </c>
      <c r="E116" s="263" t="s">
        <v>168</v>
      </c>
      <c r="F116" s="263" t="s">
        <v>184</v>
      </c>
      <c r="G116" s="263" t="s">
        <v>185</v>
      </c>
      <c r="H116" s="263" t="s">
        <v>186</v>
      </c>
      <c r="I116" s="263" t="s">
        <v>187</v>
      </c>
      <c r="J116" s="263" t="s">
        <v>188</v>
      </c>
      <c r="K116" s="263" t="s">
        <v>350</v>
      </c>
    </row>
    <row r="117" spans="1:11" s="248" customFormat="1" ht="38.25" x14ac:dyDescent="0.2">
      <c r="D117" s="265"/>
      <c r="E117" s="264" t="s">
        <v>349</v>
      </c>
      <c r="F117" s="252" t="s">
        <v>348</v>
      </c>
      <c r="G117" s="266"/>
      <c r="H117" s="265"/>
      <c r="I117" s="264" t="s">
        <v>347</v>
      </c>
      <c r="J117" s="264" t="s">
        <v>346</v>
      </c>
      <c r="K117" s="264" t="s">
        <v>345</v>
      </c>
    </row>
    <row r="118" spans="1:11" s="248" customFormat="1" x14ac:dyDescent="0.2">
      <c r="D118" s="265"/>
      <c r="E118" s="265"/>
      <c r="F118" s="265"/>
      <c r="G118" s="60" t="str">
        <f>G51</f>
        <v>Unloaded</v>
      </c>
      <c r="H118" s="265"/>
      <c r="I118" s="265"/>
    </row>
    <row r="119" spans="1:11" s="248" customFormat="1" x14ac:dyDescent="0.2">
      <c r="A119" s="255"/>
      <c r="B119" s="255"/>
      <c r="C119" s="255"/>
      <c r="D119" s="255" t="str">
        <f>D$52</f>
        <v>Forecast</v>
      </c>
      <c r="E119" s="255" t="str">
        <f t="shared" ref="E119:J119" si="15">E$52</f>
        <v>Corporate</v>
      </c>
      <c r="F119" s="255" t="str">
        <f t="shared" si="15"/>
        <v xml:space="preserve">Total </v>
      </c>
      <c r="G119" s="60" t="str">
        <f>G52</f>
        <v>Total</v>
      </c>
      <c r="H119" s="255" t="str">
        <f t="shared" si="15"/>
        <v>Prior Period</v>
      </c>
      <c r="I119" s="255" t="str">
        <f t="shared" si="15"/>
        <v>Over Heads</v>
      </c>
      <c r="J119" s="255" t="str">
        <f t="shared" si="15"/>
        <v>Forecast</v>
      </c>
      <c r="K119" s="60" t="str">
        <f>K$52</f>
        <v>Forecast Period</v>
      </c>
    </row>
    <row r="120" spans="1:11" s="248" customFormat="1" x14ac:dyDescent="0.2">
      <c r="A120" s="102" t="s">
        <v>170</v>
      </c>
      <c r="B120" s="128" t="s">
        <v>19</v>
      </c>
      <c r="C120" s="128" t="s">
        <v>20</v>
      </c>
      <c r="D120" s="263" t="str">
        <f>D$53</f>
        <v>Expenditures</v>
      </c>
      <c r="E120" s="263" t="str">
        <f t="shared" ref="E120:J120" si="16">E$53</f>
        <v>Overheads</v>
      </c>
      <c r="F120" s="263" t="str">
        <f t="shared" si="16"/>
        <v>CWIP Exp</v>
      </c>
      <c r="G120" s="64" t="str">
        <f>G53</f>
        <v>Plant Adds</v>
      </c>
      <c r="H120" s="263" t="str">
        <f t="shared" si="16"/>
        <v>CWIP Closed</v>
      </c>
      <c r="I120" s="263" t="str">
        <f t="shared" si="16"/>
        <v>Closed to PIS</v>
      </c>
      <c r="J120" s="263" t="str">
        <f t="shared" si="16"/>
        <v>Period CWIP</v>
      </c>
      <c r="K120" s="263" t="str">
        <f>K$53</f>
        <v>Incremental CWIP</v>
      </c>
    </row>
    <row r="121" spans="1:11" s="248" customFormat="1" x14ac:dyDescent="0.2">
      <c r="A121" s="65">
        <f>A113+1</f>
        <v>81</v>
      </c>
      <c r="B121" s="130" t="s">
        <v>9</v>
      </c>
      <c r="C121" s="262">
        <v>2013</v>
      </c>
      <c r="D121" s="252" t="s">
        <v>344</v>
      </c>
      <c r="E121" s="252" t="s">
        <v>344</v>
      </c>
      <c r="F121" s="252" t="s">
        <v>344</v>
      </c>
      <c r="G121" s="252" t="s">
        <v>344</v>
      </c>
      <c r="H121" s="252" t="s">
        <v>344</v>
      </c>
      <c r="I121" s="252" t="s">
        <v>344</v>
      </c>
      <c r="J121" s="88">
        <f>F25</f>
        <v>1912227.5699999947</v>
      </c>
      <c r="K121" s="252" t="s">
        <v>344</v>
      </c>
    </row>
    <row r="122" spans="1:11" s="248" customFormat="1" x14ac:dyDescent="0.2">
      <c r="A122" s="65">
        <f>A121+1</f>
        <v>82</v>
      </c>
      <c r="B122" s="130" t="s">
        <v>10</v>
      </c>
      <c r="C122" s="262">
        <v>2014</v>
      </c>
      <c r="D122" s="261">
        <v>3686000</v>
      </c>
      <c r="E122" s="88">
        <v>276450</v>
      </c>
      <c r="F122" s="88">
        <f>E122+D122</f>
        <v>3962450</v>
      </c>
      <c r="G122" s="261">
        <v>5598227.570000004</v>
      </c>
      <c r="H122" s="261">
        <v>1912227.5700000036</v>
      </c>
      <c r="I122" s="88">
        <v>276450</v>
      </c>
      <c r="J122" s="88">
        <f>J121+F122-G122-I122</f>
        <v>-9.3132257461547852E-9</v>
      </c>
      <c r="K122" s="152">
        <f>J122-$J$121</f>
        <v>-1912227.570000004</v>
      </c>
    </row>
    <row r="123" spans="1:11" s="248" customFormat="1" x14ac:dyDescent="0.2">
      <c r="A123" s="65">
        <f t="shared" ref="A123:A146" si="17">A122+1</f>
        <v>83</v>
      </c>
      <c r="B123" s="118" t="s">
        <v>11</v>
      </c>
      <c r="C123" s="262">
        <v>2014</v>
      </c>
      <c r="D123" s="261">
        <v>1838000</v>
      </c>
      <c r="E123" s="88">
        <v>137850</v>
      </c>
      <c r="F123" s="88">
        <f t="shared" ref="F123:F145" si="18">E123+D123</f>
        <v>1975850</v>
      </c>
      <c r="G123" s="261">
        <v>1838000</v>
      </c>
      <c r="H123" s="261">
        <v>0</v>
      </c>
      <c r="I123" s="88">
        <v>137850</v>
      </c>
      <c r="J123" s="88">
        <f t="shared" ref="J123:J145" si="19">J122+F123-G123-I123</f>
        <v>-9.3132257461547852E-9</v>
      </c>
      <c r="K123" s="152">
        <f t="shared" ref="K123:K145" si="20">J123-$J$121</f>
        <v>-1912227.570000004</v>
      </c>
    </row>
    <row r="124" spans="1:11" s="248" customFormat="1" x14ac:dyDescent="0.2">
      <c r="A124" s="65">
        <f t="shared" si="17"/>
        <v>84</v>
      </c>
      <c r="B124" s="118" t="s">
        <v>21</v>
      </c>
      <c r="C124" s="262">
        <v>2014</v>
      </c>
      <c r="D124" s="261">
        <v>246000</v>
      </c>
      <c r="E124" s="88">
        <v>18450</v>
      </c>
      <c r="F124" s="88">
        <f t="shared" si="18"/>
        <v>264450</v>
      </c>
      <c r="G124" s="261">
        <v>246000</v>
      </c>
      <c r="H124" s="261">
        <v>0</v>
      </c>
      <c r="I124" s="88">
        <v>18450</v>
      </c>
      <c r="J124" s="88">
        <f t="shared" si="19"/>
        <v>-9.3132257461547852E-9</v>
      </c>
      <c r="K124" s="152">
        <f t="shared" si="20"/>
        <v>-1912227.570000004</v>
      </c>
    </row>
    <row r="125" spans="1:11" s="248" customFormat="1" x14ac:dyDescent="0.2">
      <c r="A125" s="65">
        <f t="shared" si="17"/>
        <v>85</v>
      </c>
      <c r="B125" s="130" t="s">
        <v>12</v>
      </c>
      <c r="C125" s="262">
        <v>2014</v>
      </c>
      <c r="D125" s="261">
        <v>900000</v>
      </c>
      <c r="E125" s="88">
        <v>67500</v>
      </c>
      <c r="F125" s="88">
        <f t="shared" si="18"/>
        <v>967500</v>
      </c>
      <c r="G125" s="261">
        <v>900000</v>
      </c>
      <c r="H125" s="261">
        <v>0</v>
      </c>
      <c r="I125" s="88">
        <v>67500</v>
      </c>
      <c r="J125" s="88">
        <f t="shared" si="19"/>
        <v>-9.3132257461547852E-9</v>
      </c>
      <c r="K125" s="152">
        <f t="shared" si="20"/>
        <v>-1912227.570000004</v>
      </c>
    </row>
    <row r="126" spans="1:11" s="248" customFormat="1" x14ac:dyDescent="0.2">
      <c r="A126" s="65">
        <f t="shared" si="17"/>
        <v>86</v>
      </c>
      <c r="B126" s="118" t="s">
        <v>13</v>
      </c>
      <c r="C126" s="262">
        <v>2014</v>
      </c>
      <c r="D126" s="261">
        <v>1900000</v>
      </c>
      <c r="E126" s="88">
        <v>142500</v>
      </c>
      <c r="F126" s="88">
        <f t="shared" si="18"/>
        <v>2042500</v>
      </c>
      <c r="G126" s="261">
        <v>1900000</v>
      </c>
      <c r="H126" s="261">
        <v>0</v>
      </c>
      <c r="I126" s="88">
        <v>142500</v>
      </c>
      <c r="J126" s="88">
        <f t="shared" si="19"/>
        <v>-9.3132257461547852E-9</v>
      </c>
      <c r="K126" s="152">
        <f t="shared" si="20"/>
        <v>-1912227.570000004</v>
      </c>
    </row>
    <row r="127" spans="1:11" s="248" customFormat="1" x14ac:dyDescent="0.2">
      <c r="A127" s="65">
        <f t="shared" si="17"/>
        <v>87</v>
      </c>
      <c r="B127" s="118" t="s">
        <v>28</v>
      </c>
      <c r="C127" s="262">
        <v>2014</v>
      </c>
      <c r="D127" s="261">
        <v>3050000</v>
      </c>
      <c r="E127" s="88">
        <v>228750</v>
      </c>
      <c r="F127" s="88">
        <f t="shared" si="18"/>
        <v>3278750</v>
      </c>
      <c r="G127" s="261">
        <v>3050000</v>
      </c>
      <c r="H127" s="261">
        <v>0</v>
      </c>
      <c r="I127" s="88">
        <v>228750</v>
      </c>
      <c r="J127" s="88">
        <f t="shared" si="19"/>
        <v>-9.3132257461547852E-9</v>
      </c>
      <c r="K127" s="152">
        <f t="shared" si="20"/>
        <v>-1912227.570000004</v>
      </c>
    </row>
    <row r="128" spans="1:11" s="248" customFormat="1" x14ac:dyDescent="0.2">
      <c r="A128" s="65">
        <f t="shared" si="17"/>
        <v>88</v>
      </c>
      <c r="B128" s="130" t="s">
        <v>14</v>
      </c>
      <c r="C128" s="262">
        <v>2014</v>
      </c>
      <c r="D128" s="261">
        <v>450000</v>
      </c>
      <c r="E128" s="88">
        <v>33750</v>
      </c>
      <c r="F128" s="88">
        <f t="shared" si="18"/>
        <v>483750</v>
      </c>
      <c r="G128" s="261">
        <v>450000</v>
      </c>
      <c r="H128" s="261">
        <v>0</v>
      </c>
      <c r="I128" s="88">
        <v>33750</v>
      </c>
      <c r="J128" s="88">
        <f t="shared" si="19"/>
        <v>-9.3132257461547852E-9</v>
      </c>
      <c r="K128" s="152">
        <f t="shared" si="20"/>
        <v>-1912227.570000004</v>
      </c>
    </row>
    <row r="129" spans="1:11" s="248" customFormat="1" x14ac:dyDescent="0.2">
      <c r="A129" s="65">
        <f t="shared" si="17"/>
        <v>89</v>
      </c>
      <c r="B129" s="118" t="s">
        <v>15</v>
      </c>
      <c r="C129" s="262">
        <v>2014</v>
      </c>
      <c r="D129" s="261">
        <v>400000</v>
      </c>
      <c r="E129" s="88">
        <v>30000</v>
      </c>
      <c r="F129" s="88">
        <f t="shared" si="18"/>
        <v>430000</v>
      </c>
      <c r="G129" s="261">
        <v>400000</v>
      </c>
      <c r="H129" s="261">
        <v>0</v>
      </c>
      <c r="I129" s="88">
        <v>30000</v>
      </c>
      <c r="J129" s="88">
        <f t="shared" si="19"/>
        <v>-9.3132257461547852E-9</v>
      </c>
      <c r="K129" s="152">
        <f t="shared" si="20"/>
        <v>-1912227.570000004</v>
      </c>
    </row>
    <row r="130" spans="1:11" s="248" customFormat="1" x14ac:dyDescent="0.2">
      <c r="A130" s="65">
        <f t="shared" si="17"/>
        <v>90</v>
      </c>
      <c r="B130" s="118" t="s">
        <v>16</v>
      </c>
      <c r="C130" s="262">
        <v>2014</v>
      </c>
      <c r="D130" s="261">
        <v>400000</v>
      </c>
      <c r="E130" s="88">
        <v>30000</v>
      </c>
      <c r="F130" s="88">
        <f t="shared" si="18"/>
        <v>430000</v>
      </c>
      <c r="G130" s="261">
        <v>400000</v>
      </c>
      <c r="H130" s="261">
        <v>0</v>
      </c>
      <c r="I130" s="88">
        <v>30000</v>
      </c>
      <c r="J130" s="88">
        <f t="shared" si="19"/>
        <v>-9.3132257461547852E-9</v>
      </c>
      <c r="K130" s="152">
        <f t="shared" si="20"/>
        <v>-1912227.570000004</v>
      </c>
    </row>
    <row r="131" spans="1:11" s="248" customFormat="1" x14ac:dyDescent="0.2">
      <c r="A131" s="65">
        <f t="shared" si="17"/>
        <v>91</v>
      </c>
      <c r="B131" s="130" t="s">
        <v>18</v>
      </c>
      <c r="C131" s="262">
        <v>2014</v>
      </c>
      <c r="D131" s="261">
        <v>3500000</v>
      </c>
      <c r="E131" s="88">
        <v>262500</v>
      </c>
      <c r="F131" s="88">
        <f t="shared" si="18"/>
        <v>3762500</v>
      </c>
      <c r="G131" s="261">
        <v>3500000</v>
      </c>
      <c r="H131" s="261">
        <v>0</v>
      </c>
      <c r="I131" s="88">
        <v>262500</v>
      </c>
      <c r="J131" s="88">
        <f t="shared" si="19"/>
        <v>-9.3132257461547852E-9</v>
      </c>
      <c r="K131" s="152">
        <f t="shared" si="20"/>
        <v>-1912227.570000004</v>
      </c>
    </row>
    <row r="132" spans="1:11" s="248" customFormat="1" x14ac:dyDescent="0.2">
      <c r="A132" s="65">
        <f t="shared" si="17"/>
        <v>92</v>
      </c>
      <c r="B132" s="130" t="s">
        <v>17</v>
      </c>
      <c r="C132" s="262">
        <v>2014</v>
      </c>
      <c r="D132" s="261">
        <v>4600000</v>
      </c>
      <c r="E132" s="88">
        <v>345000</v>
      </c>
      <c r="F132" s="88">
        <f t="shared" si="18"/>
        <v>4945000</v>
      </c>
      <c r="G132" s="261">
        <v>4600000</v>
      </c>
      <c r="H132" s="261">
        <v>0</v>
      </c>
      <c r="I132" s="88">
        <v>345000</v>
      </c>
      <c r="J132" s="88">
        <f t="shared" si="19"/>
        <v>-9.3132257461547852E-9</v>
      </c>
      <c r="K132" s="152">
        <f t="shared" si="20"/>
        <v>-1912227.570000004</v>
      </c>
    </row>
    <row r="133" spans="1:11" s="248" customFormat="1" x14ac:dyDescent="0.2">
      <c r="A133" s="65">
        <f t="shared" si="17"/>
        <v>93</v>
      </c>
      <c r="B133" s="130" t="s">
        <v>9</v>
      </c>
      <c r="C133" s="262">
        <v>2014</v>
      </c>
      <c r="D133" s="261">
        <v>2000000</v>
      </c>
      <c r="E133" s="88">
        <v>150000</v>
      </c>
      <c r="F133" s="88">
        <f t="shared" si="18"/>
        <v>2150000</v>
      </c>
      <c r="G133" s="261">
        <v>2000000</v>
      </c>
      <c r="H133" s="261">
        <v>0</v>
      </c>
      <c r="I133" s="88">
        <v>150000</v>
      </c>
      <c r="J133" s="88">
        <f t="shared" si="19"/>
        <v>-9.3132257461547852E-9</v>
      </c>
      <c r="K133" s="152">
        <f t="shared" si="20"/>
        <v>-1912227.570000004</v>
      </c>
    </row>
    <row r="134" spans="1:11" s="248" customFormat="1" x14ac:dyDescent="0.2">
      <c r="A134" s="65">
        <f t="shared" si="17"/>
        <v>94</v>
      </c>
      <c r="B134" s="130" t="s">
        <v>10</v>
      </c>
      <c r="C134" s="262">
        <v>2015</v>
      </c>
      <c r="D134" s="261">
        <v>800000</v>
      </c>
      <c r="E134" s="88">
        <v>60000</v>
      </c>
      <c r="F134" s="88">
        <f t="shared" si="18"/>
        <v>860000</v>
      </c>
      <c r="G134" s="261">
        <v>800000</v>
      </c>
      <c r="H134" s="261">
        <v>0</v>
      </c>
      <c r="I134" s="88">
        <v>60000</v>
      </c>
      <c r="J134" s="88">
        <f t="shared" si="19"/>
        <v>-9.3132257461547852E-9</v>
      </c>
      <c r="K134" s="152">
        <f t="shared" si="20"/>
        <v>-1912227.570000004</v>
      </c>
    </row>
    <row r="135" spans="1:11" s="248" customFormat="1" x14ac:dyDescent="0.2">
      <c r="A135" s="65">
        <f t="shared" si="17"/>
        <v>95</v>
      </c>
      <c r="B135" s="118" t="s">
        <v>11</v>
      </c>
      <c r="C135" s="262">
        <v>2015</v>
      </c>
      <c r="D135" s="261">
        <v>800000</v>
      </c>
      <c r="E135" s="88">
        <v>60000</v>
      </c>
      <c r="F135" s="88">
        <f t="shared" si="18"/>
        <v>860000</v>
      </c>
      <c r="G135" s="261">
        <v>800000</v>
      </c>
      <c r="H135" s="261">
        <v>0</v>
      </c>
      <c r="I135" s="88">
        <v>60000</v>
      </c>
      <c r="J135" s="88">
        <f t="shared" si="19"/>
        <v>-9.3132257461547852E-9</v>
      </c>
      <c r="K135" s="152">
        <f t="shared" si="20"/>
        <v>-1912227.570000004</v>
      </c>
    </row>
    <row r="136" spans="1:11" s="248" customFormat="1" x14ac:dyDescent="0.2">
      <c r="A136" s="65">
        <f t="shared" si="17"/>
        <v>96</v>
      </c>
      <c r="B136" s="118" t="s">
        <v>21</v>
      </c>
      <c r="C136" s="262">
        <v>2015</v>
      </c>
      <c r="D136" s="261">
        <v>800000</v>
      </c>
      <c r="E136" s="88">
        <v>60000</v>
      </c>
      <c r="F136" s="88">
        <f t="shared" si="18"/>
        <v>860000</v>
      </c>
      <c r="G136" s="261">
        <v>800000</v>
      </c>
      <c r="H136" s="261">
        <v>0</v>
      </c>
      <c r="I136" s="88">
        <v>60000</v>
      </c>
      <c r="J136" s="88">
        <f t="shared" si="19"/>
        <v>-9.3132257461547852E-9</v>
      </c>
      <c r="K136" s="152">
        <f t="shared" si="20"/>
        <v>-1912227.570000004</v>
      </c>
    </row>
    <row r="137" spans="1:11" s="248" customFormat="1" x14ac:dyDescent="0.2">
      <c r="A137" s="65">
        <f t="shared" si="17"/>
        <v>97</v>
      </c>
      <c r="B137" s="130" t="s">
        <v>12</v>
      </c>
      <c r="C137" s="262">
        <v>2015</v>
      </c>
      <c r="D137" s="261">
        <v>800000</v>
      </c>
      <c r="E137" s="88">
        <v>60000</v>
      </c>
      <c r="F137" s="88">
        <f t="shared" si="18"/>
        <v>860000</v>
      </c>
      <c r="G137" s="261">
        <v>800000</v>
      </c>
      <c r="H137" s="261">
        <v>0</v>
      </c>
      <c r="I137" s="88">
        <v>60000</v>
      </c>
      <c r="J137" s="88">
        <f t="shared" si="19"/>
        <v>-9.3132257461547852E-9</v>
      </c>
      <c r="K137" s="152">
        <f t="shared" si="20"/>
        <v>-1912227.570000004</v>
      </c>
    </row>
    <row r="138" spans="1:11" s="248" customFormat="1" x14ac:dyDescent="0.2">
      <c r="A138" s="65">
        <f t="shared" si="17"/>
        <v>98</v>
      </c>
      <c r="B138" s="118" t="s">
        <v>13</v>
      </c>
      <c r="C138" s="262">
        <v>2015</v>
      </c>
      <c r="D138" s="261">
        <v>800000</v>
      </c>
      <c r="E138" s="88">
        <v>60000</v>
      </c>
      <c r="F138" s="88">
        <f t="shared" si="18"/>
        <v>860000</v>
      </c>
      <c r="G138" s="261">
        <v>800000</v>
      </c>
      <c r="H138" s="261">
        <v>0</v>
      </c>
      <c r="I138" s="88">
        <v>60000</v>
      </c>
      <c r="J138" s="88">
        <f t="shared" si="19"/>
        <v>-9.3132257461547852E-9</v>
      </c>
      <c r="K138" s="152">
        <f t="shared" si="20"/>
        <v>-1912227.570000004</v>
      </c>
    </row>
    <row r="139" spans="1:11" s="248" customFormat="1" x14ac:dyDescent="0.2">
      <c r="A139" s="65">
        <f t="shared" si="17"/>
        <v>99</v>
      </c>
      <c r="B139" s="118" t="s">
        <v>28</v>
      </c>
      <c r="C139" s="262">
        <v>2015</v>
      </c>
      <c r="D139" s="261">
        <v>800000</v>
      </c>
      <c r="E139" s="88">
        <v>60000</v>
      </c>
      <c r="F139" s="88">
        <f t="shared" si="18"/>
        <v>860000</v>
      </c>
      <c r="G139" s="261">
        <v>800000</v>
      </c>
      <c r="H139" s="261">
        <v>0</v>
      </c>
      <c r="I139" s="88">
        <v>60000</v>
      </c>
      <c r="J139" s="88">
        <f t="shared" si="19"/>
        <v>-9.3132257461547852E-9</v>
      </c>
      <c r="K139" s="152">
        <f t="shared" si="20"/>
        <v>-1912227.570000004</v>
      </c>
    </row>
    <row r="140" spans="1:11" s="248" customFormat="1" x14ac:dyDescent="0.2">
      <c r="A140" s="65">
        <f t="shared" si="17"/>
        <v>100</v>
      </c>
      <c r="B140" s="130" t="s">
        <v>14</v>
      </c>
      <c r="C140" s="262">
        <v>2015</v>
      </c>
      <c r="D140" s="261">
        <v>0</v>
      </c>
      <c r="E140" s="88">
        <v>0</v>
      </c>
      <c r="F140" s="88">
        <f t="shared" si="18"/>
        <v>0</v>
      </c>
      <c r="G140" s="261">
        <v>0</v>
      </c>
      <c r="H140" s="261">
        <v>0</v>
      </c>
      <c r="I140" s="88">
        <v>0</v>
      </c>
      <c r="J140" s="88">
        <f t="shared" si="19"/>
        <v>-9.3132257461547852E-9</v>
      </c>
      <c r="K140" s="152">
        <f t="shared" si="20"/>
        <v>-1912227.570000004</v>
      </c>
    </row>
    <row r="141" spans="1:11" s="248" customFormat="1" x14ac:dyDescent="0.2">
      <c r="A141" s="65">
        <f t="shared" si="17"/>
        <v>101</v>
      </c>
      <c r="B141" s="118" t="s">
        <v>15</v>
      </c>
      <c r="C141" s="262">
        <v>2015</v>
      </c>
      <c r="D141" s="261">
        <v>0</v>
      </c>
      <c r="E141" s="88">
        <v>0</v>
      </c>
      <c r="F141" s="88">
        <f t="shared" si="18"/>
        <v>0</v>
      </c>
      <c r="G141" s="261">
        <v>0</v>
      </c>
      <c r="H141" s="261">
        <v>0</v>
      </c>
      <c r="I141" s="88">
        <v>0</v>
      </c>
      <c r="J141" s="88">
        <f t="shared" si="19"/>
        <v>-9.3132257461547852E-9</v>
      </c>
      <c r="K141" s="152">
        <f t="shared" si="20"/>
        <v>-1912227.570000004</v>
      </c>
    </row>
    <row r="142" spans="1:11" s="248" customFormat="1" x14ac:dyDescent="0.2">
      <c r="A142" s="65">
        <f t="shared" si="17"/>
        <v>102</v>
      </c>
      <c r="B142" s="118" t="s">
        <v>16</v>
      </c>
      <c r="C142" s="262">
        <v>2015</v>
      </c>
      <c r="D142" s="261">
        <v>0</v>
      </c>
      <c r="E142" s="88">
        <v>0</v>
      </c>
      <c r="F142" s="88">
        <f t="shared" si="18"/>
        <v>0</v>
      </c>
      <c r="G142" s="261">
        <v>0</v>
      </c>
      <c r="H142" s="261">
        <v>0</v>
      </c>
      <c r="I142" s="88">
        <v>0</v>
      </c>
      <c r="J142" s="88">
        <f t="shared" si="19"/>
        <v>-9.3132257461547852E-9</v>
      </c>
      <c r="K142" s="152">
        <f t="shared" si="20"/>
        <v>-1912227.570000004</v>
      </c>
    </row>
    <row r="143" spans="1:11" s="248" customFormat="1" x14ac:dyDescent="0.2">
      <c r="A143" s="65">
        <f t="shared" si="17"/>
        <v>103</v>
      </c>
      <c r="B143" s="118" t="s">
        <v>18</v>
      </c>
      <c r="C143" s="262">
        <v>2015</v>
      </c>
      <c r="D143" s="261">
        <v>0</v>
      </c>
      <c r="E143" s="88">
        <v>0</v>
      </c>
      <c r="F143" s="88">
        <f t="shared" si="18"/>
        <v>0</v>
      </c>
      <c r="G143" s="261">
        <v>0</v>
      </c>
      <c r="H143" s="261">
        <v>0</v>
      </c>
      <c r="I143" s="88">
        <v>0</v>
      </c>
      <c r="J143" s="88">
        <f t="shared" si="19"/>
        <v>-9.3132257461547852E-9</v>
      </c>
      <c r="K143" s="152">
        <f t="shared" si="20"/>
        <v>-1912227.570000004</v>
      </c>
    </row>
    <row r="144" spans="1:11" s="248" customFormat="1" x14ac:dyDescent="0.2">
      <c r="A144" s="65">
        <f t="shared" si="17"/>
        <v>104</v>
      </c>
      <c r="B144" s="118" t="s">
        <v>17</v>
      </c>
      <c r="C144" s="262">
        <v>2015</v>
      </c>
      <c r="D144" s="261">
        <v>0</v>
      </c>
      <c r="E144" s="88">
        <v>0</v>
      </c>
      <c r="F144" s="88">
        <f t="shared" si="18"/>
        <v>0</v>
      </c>
      <c r="G144" s="261">
        <v>0</v>
      </c>
      <c r="H144" s="261">
        <v>0</v>
      </c>
      <c r="I144" s="88">
        <v>0</v>
      </c>
      <c r="J144" s="88">
        <f t="shared" si="19"/>
        <v>-9.3132257461547852E-9</v>
      </c>
      <c r="K144" s="152">
        <f t="shared" si="20"/>
        <v>-1912227.570000004</v>
      </c>
    </row>
    <row r="145" spans="1:11" s="248" customFormat="1" x14ac:dyDescent="0.2">
      <c r="A145" s="65">
        <f t="shared" si="17"/>
        <v>105</v>
      </c>
      <c r="B145" s="118" t="s">
        <v>9</v>
      </c>
      <c r="C145" s="262">
        <v>2015</v>
      </c>
      <c r="D145" s="261">
        <v>13000000</v>
      </c>
      <c r="E145" s="88">
        <v>975000</v>
      </c>
      <c r="F145" s="88">
        <f t="shared" si="18"/>
        <v>13975000</v>
      </c>
      <c r="G145" s="261">
        <v>13000000</v>
      </c>
      <c r="H145" s="261">
        <v>0</v>
      </c>
      <c r="I145" s="88">
        <v>975000</v>
      </c>
      <c r="J145" s="88">
        <f t="shared" si="19"/>
        <v>-9.3132257461547852E-9</v>
      </c>
      <c r="K145" s="260">
        <f t="shared" si="20"/>
        <v>-1912227.570000004</v>
      </c>
    </row>
    <row r="146" spans="1:11" s="248" customFormat="1" x14ac:dyDescent="0.2">
      <c r="A146" s="65">
        <f t="shared" si="17"/>
        <v>106</v>
      </c>
      <c r="B146"/>
      <c r="C146" s="259" t="s">
        <v>343</v>
      </c>
      <c r="D146"/>
      <c r="E146"/>
      <c r="F146"/>
      <c r="G146"/>
      <c r="H146"/>
      <c r="I146"/>
      <c r="J146"/>
      <c r="K146" s="258">
        <f>AVERAGE(K133:K145)</f>
        <v>-1912227.570000004</v>
      </c>
    </row>
    <row r="147" spans="1:11" s="248" customFormat="1" x14ac:dyDescent="0.2">
      <c r="A147" s="65"/>
      <c r="B147"/>
      <c r="C147" s="259"/>
      <c r="D147"/>
      <c r="E147"/>
      <c r="F147"/>
      <c r="G147"/>
      <c r="H147"/>
      <c r="I147"/>
      <c r="J147"/>
      <c r="K147" s="258"/>
    </row>
    <row r="148" spans="1:11" s="248" customFormat="1" x14ac:dyDescent="0.2">
      <c r="B148" s="269" t="s">
        <v>368</v>
      </c>
      <c r="D148" s="548" t="s">
        <v>367</v>
      </c>
      <c r="E148" s="548"/>
    </row>
    <row r="149" spans="1:11" s="248" customFormat="1" x14ac:dyDescent="0.2">
      <c r="D149" s="265"/>
      <c r="E149" s="265"/>
      <c r="F149" s="265"/>
      <c r="G149" s="60" t="str">
        <f>G51</f>
        <v>Unloaded</v>
      </c>
      <c r="H149" s="265"/>
      <c r="I149" s="265"/>
    </row>
    <row r="150" spans="1:11" s="248" customFormat="1" x14ac:dyDescent="0.2">
      <c r="A150" s="255"/>
      <c r="B150" s="255"/>
      <c r="C150" s="255"/>
      <c r="D150" s="255" t="str">
        <f>D$52</f>
        <v>Forecast</v>
      </c>
      <c r="E150" s="255" t="str">
        <f t="shared" ref="E150:J150" si="21">E$52</f>
        <v>Corporate</v>
      </c>
      <c r="F150" s="255" t="str">
        <f t="shared" si="21"/>
        <v xml:space="preserve">Total </v>
      </c>
      <c r="G150" s="60" t="str">
        <f>G52</f>
        <v>Total</v>
      </c>
      <c r="H150" s="255" t="str">
        <f t="shared" si="21"/>
        <v>Prior Period</v>
      </c>
      <c r="I150" s="255" t="str">
        <f t="shared" si="21"/>
        <v>Over Heads</v>
      </c>
      <c r="J150" s="255" t="str">
        <f t="shared" si="21"/>
        <v>Forecast</v>
      </c>
      <c r="K150" s="60" t="str">
        <f>K$52</f>
        <v>Forecast Period</v>
      </c>
    </row>
    <row r="151" spans="1:11" s="248" customFormat="1" x14ac:dyDescent="0.2">
      <c r="A151" s="102" t="s">
        <v>170</v>
      </c>
      <c r="B151" s="128" t="s">
        <v>19</v>
      </c>
      <c r="C151" s="128" t="s">
        <v>20</v>
      </c>
      <c r="D151" s="263" t="str">
        <f>D$53</f>
        <v>Expenditures</v>
      </c>
      <c r="E151" s="263" t="str">
        <f t="shared" ref="E151:J151" si="22">E$53</f>
        <v>Overheads</v>
      </c>
      <c r="F151" s="263" t="str">
        <f t="shared" si="22"/>
        <v>CWIP Exp</v>
      </c>
      <c r="G151" s="64" t="str">
        <f>G53</f>
        <v>Plant Adds</v>
      </c>
      <c r="H151" s="263" t="str">
        <f t="shared" si="22"/>
        <v>CWIP Closed</v>
      </c>
      <c r="I151" s="263" t="str">
        <f t="shared" si="22"/>
        <v>Closed to PIS</v>
      </c>
      <c r="J151" s="263" t="str">
        <f t="shared" si="22"/>
        <v>Period CWIP</v>
      </c>
      <c r="K151" s="263" t="str">
        <f>K$53</f>
        <v>Incremental CWIP</v>
      </c>
    </row>
    <row r="152" spans="1:11" s="248" customFormat="1" x14ac:dyDescent="0.2">
      <c r="A152" s="65">
        <f>A146+1</f>
        <v>107</v>
      </c>
      <c r="B152" s="130" t="s">
        <v>9</v>
      </c>
      <c r="C152" s="262">
        <v>2013</v>
      </c>
      <c r="D152" s="252" t="s">
        <v>344</v>
      </c>
      <c r="E152" s="252" t="s">
        <v>344</v>
      </c>
      <c r="F152" s="252" t="s">
        <v>344</v>
      </c>
      <c r="G152" s="252" t="s">
        <v>344</v>
      </c>
      <c r="H152" s="252" t="s">
        <v>344</v>
      </c>
      <c r="I152" s="252" t="s">
        <v>344</v>
      </c>
      <c r="J152" s="88">
        <f>G25</f>
        <v>0</v>
      </c>
      <c r="K152" s="252" t="s">
        <v>344</v>
      </c>
    </row>
    <row r="153" spans="1:11" s="248" customFormat="1" x14ac:dyDescent="0.2">
      <c r="A153" s="65">
        <f>A152+1</f>
        <v>108</v>
      </c>
      <c r="B153" s="130" t="s">
        <v>10</v>
      </c>
      <c r="C153" s="262">
        <v>2014</v>
      </c>
      <c r="D153" s="261">
        <v>901813.89999999921</v>
      </c>
      <c r="E153" s="88">
        <v>67636.042499999938</v>
      </c>
      <c r="F153" s="88">
        <f>E153+D153</f>
        <v>969449.94249999919</v>
      </c>
      <c r="G153" s="261">
        <v>901813.89999999921</v>
      </c>
      <c r="H153" s="261">
        <v>0</v>
      </c>
      <c r="I153" s="88">
        <v>67636.042499999938</v>
      </c>
      <c r="J153" s="88">
        <f>J152+F153-G153-I153</f>
        <v>0</v>
      </c>
      <c r="K153" s="88">
        <f>J153-$J$152</f>
        <v>0</v>
      </c>
    </row>
    <row r="154" spans="1:11" s="248" customFormat="1" x14ac:dyDescent="0.2">
      <c r="A154" s="65">
        <f t="shared" ref="A154:A177" si="23">A153+1</f>
        <v>109</v>
      </c>
      <c r="B154" s="118" t="s">
        <v>11</v>
      </c>
      <c r="C154" s="262">
        <v>2014</v>
      </c>
      <c r="D154" s="261">
        <v>346195.6099999994</v>
      </c>
      <c r="E154" s="88">
        <v>25964.670749999954</v>
      </c>
      <c r="F154" s="88">
        <f t="shared" ref="F154:F176" si="24">E154+D154</f>
        <v>372160.28074999934</v>
      </c>
      <c r="G154" s="261">
        <v>346195.6099999994</v>
      </c>
      <c r="H154" s="261">
        <v>0</v>
      </c>
      <c r="I154" s="88">
        <v>25964.670749999954</v>
      </c>
      <c r="J154" s="88">
        <f t="shared" ref="J154:J176" si="25">J153+F154-G154-I154</f>
        <v>0</v>
      </c>
      <c r="K154" s="88">
        <f t="shared" ref="K154:K176" si="26">J154-$J$152</f>
        <v>0</v>
      </c>
    </row>
    <row r="155" spans="1:11" s="248" customFormat="1" x14ac:dyDescent="0.2">
      <c r="A155" s="65">
        <f t="shared" si="23"/>
        <v>110</v>
      </c>
      <c r="B155" s="118" t="s">
        <v>21</v>
      </c>
      <c r="C155" s="262">
        <v>2014</v>
      </c>
      <c r="D155" s="261">
        <v>717461.15999999992</v>
      </c>
      <c r="E155" s="88">
        <v>53809.586999999992</v>
      </c>
      <c r="F155" s="88">
        <f t="shared" si="24"/>
        <v>771270.74699999986</v>
      </c>
      <c r="G155" s="261">
        <v>717461.15999999992</v>
      </c>
      <c r="H155" s="261">
        <v>0</v>
      </c>
      <c r="I155" s="88">
        <v>53809.586999999992</v>
      </c>
      <c r="J155" s="88">
        <f t="shared" si="25"/>
        <v>0</v>
      </c>
      <c r="K155" s="88">
        <f t="shared" si="26"/>
        <v>0</v>
      </c>
    </row>
    <row r="156" spans="1:11" s="248" customFormat="1" x14ac:dyDescent="0.2">
      <c r="A156" s="65">
        <f t="shared" si="23"/>
        <v>111</v>
      </c>
      <c r="B156" s="130" t="s">
        <v>12</v>
      </c>
      <c r="C156" s="262">
        <v>2014</v>
      </c>
      <c r="D156" s="261">
        <v>242000</v>
      </c>
      <c r="E156" s="88">
        <v>18150</v>
      </c>
      <c r="F156" s="88">
        <f t="shared" si="24"/>
        <v>260150</v>
      </c>
      <c r="G156" s="261">
        <v>242000</v>
      </c>
      <c r="H156" s="261">
        <v>0</v>
      </c>
      <c r="I156" s="88">
        <v>18150</v>
      </c>
      <c r="J156" s="88">
        <f t="shared" si="25"/>
        <v>0</v>
      </c>
      <c r="K156" s="88">
        <f t="shared" si="26"/>
        <v>0</v>
      </c>
    </row>
    <row r="157" spans="1:11" s="248" customFormat="1" x14ac:dyDescent="0.2">
      <c r="A157" s="65">
        <f t="shared" si="23"/>
        <v>112</v>
      </c>
      <c r="B157" s="118" t="s">
        <v>13</v>
      </c>
      <c r="C157" s="262">
        <v>2014</v>
      </c>
      <c r="D157" s="261">
        <v>144000</v>
      </c>
      <c r="E157" s="88">
        <v>10800</v>
      </c>
      <c r="F157" s="88">
        <f t="shared" si="24"/>
        <v>154800</v>
      </c>
      <c r="G157" s="261">
        <v>144000</v>
      </c>
      <c r="H157" s="261">
        <v>0</v>
      </c>
      <c r="I157" s="88">
        <v>10800</v>
      </c>
      <c r="J157" s="88">
        <f t="shared" si="25"/>
        <v>0</v>
      </c>
      <c r="K157" s="88">
        <f t="shared" si="26"/>
        <v>0</v>
      </c>
    </row>
    <row r="158" spans="1:11" s="248" customFormat="1" x14ac:dyDescent="0.2">
      <c r="A158" s="65">
        <f t="shared" si="23"/>
        <v>113</v>
      </c>
      <c r="B158" s="118" t="s">
        <v>28</v>
      </c>
      <c r="C158" s="262">
        <v>2014</v>
      </c>
      <c r="D158" s="261">
        <v>67000</v>
      </c>
      <c r="E158" s="88">
        <v>5025</v>
      </c>
      <c r="F158" s="88">
        <f t="shared" si="24"/>
        <v>72025</v>
      </c>
      <c r="G158" s="261">
        <v>67000</v>
      </c>
      <c r="H158" s="261">
        <v>0</v>
      </c>
      <c r="I158" s="88">
        <v>5025</v>
      </c>
      <c r="J158" s="88">
        <f t="shared" si="25"/>
        <v>0</v>
      </c>
      <c r="K158" s="88">
        <f t="shared" si="26"/>
        <v>0</v>
      </c>
    </row>
    <row r="159" spans="1:11" s="248" customFormat="1" x14ac:dyDescent="0.2">
      <c r="A159" s="65">
        <f t="shared" si="23"/>
        <v>114</v>
      </c>
      <c r="B159" s="130" t="s">
        <v>14</v>
      </c>
      <c r="C159" s="262">
        <v>2014</v>
      </c>
      <c r="D159" s="261">
        <v>35000</v>
      </c>
      <c r="E159" s="88">
        <v>2625</v>
      </c>
      <c r="F159" s="88">
        <f t="shared" si="24"/>
        <v>37625</v>
      </c>
      <c r="G159" s="261">
        <v>35000</v>
      </c>
      <c r="H159" s="261">
        <v>0</v>
      </c>
      <c r="I159" s="88">
        <v>2625</v>
      </c>
      <c r="J159" s="88">
        <f t="shared" si="25"/>
        <v>0</v>
      </c>
      <c r="K159" s="88">
        <f t="shared" si="26"/>
        <v>0</v>
      </c>
    </row>
    <row r="160" spans="1:11" s="248" customFormat="1" x14ac:dyDescent="0.2">
      <c r="A160" s="65">
        <f t="shared" si="23"/>
        <v>115</v>
      </c>
      <c r="B160" s="118" t="s">
        <v>15</v>
      </c>
      <c r="C160" s="262">
        <v>2014</v>
      </c>
      <c r="D160" s="261">
        <v>33000</v>
      </c>
      <c r="E160" s="88">
        <v>2475</v>
      </c>
      <c r="F160" s="88">
        <f t="shared" si="24"/>
        <v>35475</v>
      </c>
      <c r="G160" s="261">
        <v>33000</v>
      </c>
      <c r="H160" s="261">
        <v>0</v>
      </c>
      <c r="I160" s="88">
        <v>2475</v>
      </c>
      <c r="J160" s="88">
        <f t="shared" si="25"/>
        <v>0</v>
      </c>
      <c r="K160" s="88">
        <f t="shared" si="26"/>
        <v>0</v>
      </c>
    </row>
    <row r="161" spans="1:11" s="248" customFormat="1" x14ac:dyDescent="0.2">
      <c r="A161" s="65">
        <f t="shared" si="23"/>
        <v>116</v>
      </c>
      <c r="B161" s="118" t="s">
        <v>16</v>
      </c>
      <c r="C161" s="262">
        <v>2014</v>
      </c>
      <c r="D161" s="261">
        <v>33000</v>
      </c>
      <c r="E161" s="88">
        <v>2475</v>
      </c>
      <c r="F161" s="88">
        <f t="shared" si="24"/>
        <v>35475</v>
      </c>
      <c r="G161" s="261">
        <v>33000</v>
      </c>
      <c r="H161" s="261">
        <v>0</v>
      </c>
      <c r="I161" s="88">
        <v>2475</v>
      </c>
      <c r="J161" s="88">
        <f t="shared" si="25"/>
        <v>0</v>
      </c>
      <c r="K161" s="88">
        <f t="shared" si="26"/>
        <v>0</v>
      </c>
    </row>
    <row r="162" spans="1:11" s="248" customFormat="1" x14ac:dyDescent="0.2">
      <c r="A162" s="65">
        <f t="shared" si="23"/>
        <v>117</v>
      </c>
      <c r="B162" s="130" t="s">
        <v>18</v>
      </c>
      <c r="C162" s="262">
        <v>2014</v>
      </c>
      <c r="D162" s="261">
        <v>33000</v>
      </c>
      <c r="E162" s="88">
        <v>2475</v>
      </c>
      <c r="F162" s="88">
        <f t="shared" si="24"/>
        <v>35475</v>
      </c>
      <c r="G162" s="261">
        <v>33000</v>
      </c>
      <c r="H162" s="261">
        <v>0</v>
      </c>
      <c r="I162" s="88">
        <v>2475</v>
      </c>
      <c r="J162" s="88">
        <f t="shared" si="25"/>
        <v>0</v>
      </c>
      <c r="K162" s="88">
        <f t="shared" si="26"/>
        <v>0</v>
      </c>
    </row>
    <row r="163" spans="1:11" s="248" customFormat="1" x14ac:dyDescent="0.2">
      <c r="A163" s="65">
        <f t="shared" si="23"/>
        <v>118</v>
      </c>
      <c r="B163" s="130" t="s">
        <v>17</v>
      </c>
      <c r="C163" s="262">
        <v>2014</v>
      </c>
      <c r="D163" s="261">
        <v>33000</v>
      </c>
      <c r="E163" s="88">
        <v>2475</v>
      </c>
      <c r="F163" s="88">
        <f t="shared" si="24"/>
        <v>35475</v>
      </c>
      <c r="G163" s="261">
        <v>33000</v>
      </c>
      <c r="H163" s="261">
        <v>0</v>
      </c>
      <c r="I163" s="88">
        <v>2475</v>
      </c>
      <c r="J163" s="88">
        <f t="shared" si="25"/>
        <v>0</v>
      </c>
      <c r="K163" s="88">
        <f t="shared" si="26"/>
        <v>0</v>
      </c>
    </row>
    <row r="164" spans="1:11" s="248" customFormat="1" x14ac:dyDescent="0.2">
      <c r="A164" s="65">
        <f t="shared" si="23"/>
        <v>119</v>
      </c>
      <c r="B164" s="130" t="s">
        <v>9</v>
      </c>
      <c r="C164" s="262">
        <v>2014</v>
      </c>
      <c r="D164" s="261">
        <v>890000</v>
      </c>
      <c r="E164" s="88">
        <v>66750</v>
      </c>
      <c r="F164" s="88">
        <f t="shared" si="24"/>
        <v>956750</v>
      </c>
      <c r="G164" s="261">
        <v>890000</v>
      </c>
      <c r="H164" s="261">
        <v>0</v>
      </c>
      <c r="I164" s="88">
        <v>66750</v>
      </c>
      <c r="J164" s="88">
        <f t="shared" si="25"/>
        <v>0</v>
      </c>
      <c r="K164" s="88">
        <f t="shared" si="26"/>
        <v>0</v>
      </c>
    </row>
    <row r="165" spans="1:11" s="248" customFormat="1" x14ac:dyDescent="0.2">
      <c r="A165" s="65">
        <f t="shared" si="23"/>
        <v>120</v>
      </c>
      <c r="B165" s="130" t="s">
        <v>10</v>
      </c>
      <c r="C165" s="262">
        <v>2015</v>
      </c>
      <c r="D165" s="261">
        <v>0</v>
      </c>
      <c r="E165" s="88">
        <v>0</v>
      </c>
      <c r="F165" s="88">
        <f t="shared" si="24"/>
        <v>0</v>
      </c>
      <c r="G165" s="261">
        <v>0</v>
      </c>
      <c r="H165" s="261">
        <v>0</v>
      </c>
      <c r="I165" s="88">
        <v>0</v>
      </c>
      <c r="J165" s="88">
        <f t="shared" si="25"/>
        <v>0</v>
      </c>
      <c r="K165" s="88">
        <f t="shared" si="26"/>
        <v>0</v>
      </c>
    </row>
    <row r="166" spans="1:11" s="248" customFormat="1" x14ac:dyDescent="0.2">
      <c r="A166" s="65">
        <f t="shared" si="23"/>
        <v>121</v>
      </c>
      <c r="B166" s="118" t="s">
        <v>11</v>
      </c>
      <c r="C166" s="262">
        <v>2015</v>
      </c>
      <c r="D166" s="261">
        <v>0</v>
      </c>
      <c r="E166" s="88">
        <v>0</v>
      </c>
      <c r="F166" s="88">
        <f t="shared" si="24"/>
        <v>0</v>
      </c>
      <c r="G166" s="261">
        <v>0</v>
      </c>
      <c r="H166" s="261">
        <v>0</v>
      </c>
      <c r="I166" s="88">
        <v>0</v>
      </c>
      <c r="J166" s="88">
        <f t="shared" si="25"/>
        <v>0</v>
      </c>
      <c r="K166" s="88">
        <f t="shared" si="26"/>
        <v>0</v>
      </c>
    </row>
    <row r="167" spans="1:11" s="248" customFormat="1" x14ac:dyDescent="0.2">
      <c r="A167" s="65">
        <f t="shared" si="23"/>
        <v>122</v>
      </c>
      <c r="B167" s="118" t="s">
        <v>21</v>
      </c>
      <c r="C167" s="262">
        <v>2015</v>
      </c>
      <c r="D167" s="261">
        <v>0</v>
      </c>
      <c r="E167" s="88">
        <v>0</v>
      </c>
      <c r="F167" s="88">
        <f t="shared" si="24"/>
        <v>0</v>
      </c>
      <c r="G167" s="261">
        <v>0</v>
      </c>
      <c r="H167" s="261">
        <v>0</v>
      </c>
      <c r="I167" s="88">
        <v>0</v>
      </c>
      <c r="J167" s="88">
        <f t="shared" si="25"/>
        <v>0</v>
      </c>
      <c r="K167" s="88">
        <f t="shared" si="26"/>
        <v>0</v>
      </c>
    </row>
    <row r="168" spans="1:11" s="248" customFormat="1" x14ac:dyDescent="0.2">
      <c r="A168" s="65">
        <f t="shared" si="23"/>
        <v>123</v>
      </c>
      <c r="B168" s="130" t="s">
        <v>12</v>
      </c>
      <c r="C168" s="262">
        <v>2015</v>
      </c>
      <c r="D168" s="261">
        <v>0</v>
      </c>
      <c r="E168" s="88">
        <v>0</v>
      </c>
      <c r="F168" s="88">
        <f t="shared" si="24"/>
        <v>0</v>
      </c>
      <c r="G168" s="261">
        <v>0</v>
      </c>
      <c r="H168" s="261">
        <v>0</v>
      </c>
      <c r="I168" s="88">
        <v>0</v>
      </c>
      <c r="J168" s="88">
        <f t="shared" si="25"/>
        <v>0</v>
      </c>
      <c r="K168" s="88">
        <f t="shared" si="26"/>
        <v>0</v>
      </c>
    </row>
    <row r="169" spans="1:11" s="248" customFormat="1" x14ac:dyDescent="0.2">
      <c r="A169" s="65">
        <f t="shared" si="23"/>
        <v>124</v>
      </c>
      <c r="B169" s="118" t="s">
        <v>13</v>
      </c>
      <c r="C169" s="262">
        <v>2015</v>
      </c>
      <c r="D169" s="261">
        <v>0</v>
      </c>
      <c r="E169" s="88">
        <v>0</v>
      </c>
      <c r="F169" s="88">
        <f t="shared" si="24"/>
        <v>0</v>
      </c>
      <c r="G169" s="261">
        <v>0</v>
      </c>
      <c r="H169" s="261">
        <v>0</v>
      </c>
      <c r="I169" s="88">
        <v>0</v>
      </c>
      <c r="J169" s="88">
        <f t="shared" si="25"/>
        <v>0</v>
      </c>
      <c r="K169" s="88">
        <f t="shared" si="26"/>
        <v>0</v>
      </c>
    </row>
    <row r="170" spans="1:11" s="248" customFormat="1" x14ac:dyDescent="0.2">
      <c r="A170" s="65">
        <f t="shared" si="23"/>
        <v>125</v>
      </c>
      <c r="B170" s="118" t="s">
        <v>28</v>
      </c>
      <c r="C170" s="262">
        <v>2015</v>
      </c>
      <c r="D170" s="261">
        <v>0</v>
      </c>
      <c r="E170" s="88">
        <v>0</v>
      </c>
      <c r="F170" s="88">
        <f t="shared" si="24"/>
        <v>0</v>
      </c>
      <c r="G170" s="261">
        <v>0</v>
      </c>
      <c r="H170" s="261">
        <v>0</v>
      </c>
      <c r="I170" s="88">
        <v>0</v>
      </c>
      <c r="J170" s="88">
        <f t="shared" si="25"/>
        <v>0</v>
      </c>
      <c r="K170" s="88">
        <f t="shared" si="26"/>
        <v>0</v>
      </c>
    </row>
    <row r="171" spans="1:11" s="248" customFormat="1" x14ac:dyDescent="0.2">
      <c r="A171" s="65">
        <f t="shared" si="23"/>
        <v>126</v>
      </c>
      <c r="B171" s="130" t="s">
        <v>14</v>
      </c>
      <c r="C171" s="262">
        <v>2015</v>
      </c>
      <c r="D171" s="261">
        <v>0</v>
      </c>
      <c r="E171" s="88">
        <v>0</v>
      </c>
      <c r="F171" s="88">
        <f t="shared" si="24"/>
        <v>0</v>
      </c>
      <c r="G171" s="261">
        <v>0</v>
      </c>
      <c r="H171" s="261">
        <v>0</v>
      </c>
      <c r="I171" s="88">
        <v>0</v>
      </c>
      <c r="J171" s="88">
        <f t="shared" si="25"/>
        <v>0</v>
      </c>
      <c r="K171" s="88">
        <f t="shared" si="26"/>
        <v>0</v>
      </c>
    </row>
    <row r="172" spans="1:11" s="248" customFormat="1" x14ac:dyDescent="0.2">
      <c r="A172" s="65">
        <f t="shared" si="23"/>
        <v>127</v>
      </c>
      <c r="B172" s="118" t="s">
        <v>15</v>
      </c>
      <c r="C172" s="262">
        <v>2015</v>
      </c>
      <c r="D172" s="261">
        <v>0</v>
      </c>
      <c r="E172" s="88">
        <v>0</v>
      </c>
      <c r="F172" s="88">
        <f t="shared" si="24"/>
        <v>0</v>
      </c>
      <c r="G172" s="261">
        <v>0</v>
      </c>
      <c r="H172" s="261">
        <v>0</v>
      </c>
      <c r="I172" s="88">
        <v>0</v>
      </c>
      <c r="J172" s="88">
        <f t="shared" si="25"/>
        <v>0</v>
      </c>
      <c r="K172" s="88">
        <f t="shared" si="26"/>
        <v>0</v>
      </c>
    </row>
    <row r="173" spans="1:11" s="248" customFormat="1" x14ac:dyDescent="0.2">
      <c r="A173" s="65">
        <f t="shared" si="23"/>
        <v>128</v>
      </c>
      <c r="B173" s="118" t="s">
        <v>16</v>
      </c>
      <c r="C173" s="262">
        <v>2015</v>
      </c>
      <c r="D173" s="261">
        <v>0</v>
      </c>
      <c r="E173" s="88">
        <v>0</v>
      </c>
      <c r="F173" s="88">
        <f t="shared" si="24"/>
        <v>0</v>
      </c>
      <c r="G173" s="261">
        <v>0</v>
      </c>
      <c r="H173" s="261">
        <v>0</v>
      </c>
      <c r="I173" s="88">
        <v>0</v>
      </c>
      <c r="J173" s="88">
        <f t="shared" si="25"/>
        <v>0</v>
      </c>
      <c r="K173" s="88">
        <f t="shared" si="26"/>
        <v>0</v>
      </c>
    </row>
    <row r="174" spans="1:11" s="248" customFormat="1" x14ac:dyDescent="0.2">
      <c r="A174" s="65">
        <f t="shared" si="23"/>
        <v>129</v>
      </c>
      <c r="B174" s="118" t="s">
        <v>18</v>
      </c>
      <c r="C174" s="262">
        <v>2015</v>
      </c>
      <c r="D174" s="261">
        <v>0</v>
      </c>
      <c r="E174" s="88">
        <v>0</v>
      </c>
      <c r="F174" s="88">
        <f t="shared" si="24"/>
        <v>0</v>
      </c>
      <c r="G174" s="261">
        <v>0</v>
      </c>
      <c r="H174" s="261">
        <v>0</v>
      </c>
      <c r="I174" s="88">
        <v>0</v>
      </c>
      <c r="J174" s="88">
        <f t="shared" si="25"/>
        <v>0</v>
      </c>
      <c r="K174" s="88">
        <f t="shared" si="26"/>
        <v>0</v>
      </c>
    </row>
    <row r="175" spans="1:11" s="248" customFormat="1" x14ac:dyDescent="0.2">
      <c r="A175" s="65">
        <f t="shared" si="23"/>
        <v>130</v>
      </c>
      <c r="B175" s="118" t="s">
        <v>17</v>
      </c>
      <c r="C175" s="262">
        <v>2015</v>
      </c>
      <c r="D175" s="261">
        <v>0</v>
      </c>
      <c r="E175" s="88">
        <v>0</v>
      </c>
      <c r="F175" s="88">
        <f t="shared" si="24"/>
        <v>0</v>
      </c>
      <c r="G175" s="261">
        <v>0</v>
      </c>
      <c r="H175" s="261">
        <v>0</v>
      </c>
      <c r="I175" s="88">
        <v>0</v>
      </c>
      <c r="J175" s="88">
        <f t="shared" si="25"/>
        <v>0</v>
      </c>
      <c r="K175" s="88">
        <f t="shared" si="26"/>
        <v>0</v>
      </c>
    </row>
    <row r="176" spans="1:11" s="248" customFormat="1" x14ac:dyDescent="0.2">
      <c r="A176" s="65">
        <f t="shared" si="23"/>
        <v>131</v>
      </c>
      <c r="B176" s="118" t="s">
        <v>9</v>
      </c>
      <c r="C176" s="262">
        <v>2015</v>
      </c>
      <c r="D176" s="261">
        <v>0</v>
      </c>
      <c r="E176" s="88">
        <v>0</v>
      </c>
      <c r="F176" s="88">
        <f t="shared" si="24"/>
        <v>0</v>
      </c>
      <c r="G176" s="261">
        <v>0</v>
      </c>
      <c r="H176" s="261">
        <v>0</v>
      </c>
      <c r="I176" s="88">
        <v>0</v>
      </c>
      <c r="J176" s="88">
        <f t="shared" si="25"/>
        <v>0</v>
      </c>
      <c r="K176" s="260">
        <f t="shared" si="26"/>
        <v>0</v>
      </c>
    </row>
    <row r="177" spans="1:11" s="248" customFormat="1" x14ac:dyDescent="0.2">
      <c r="A177" s="65">
        <f t="shared" si="23"/>
        <v>132</v>
      </c>
      <c r="B177"/>
      <c r="C177" s="259" t="s">
        <v>343</v>
      </c>
      <c r="D177"/>
      <c r="E177"/>
      <c r="F177"/>
      <c r="G177"/>
      <c r="H177"/>
      <c r="I177"/>
      <c r="J177"/>
      <c r="K177" s="258">
        <f>AVERAGE(K164:K176)</f>
        <v>0</v>
      </c>
    </row>
    <row r="178" spans="1:11" s="248" customFormat="1" x14ac:dyDescent="0.2">
      <c r="A178" s="65"/>
      <c r="B178"/>
      <c r="C178" s="259"/>
      <c r="D178"/>
      <c r="E178"/>
      <c r="F178"/>
      <c r="G178"/>
      <c r="H178"/>
      <c r="I178"/>
      <c r="J178"/>
      <c r="K178" s="258"/>
    </row>
    <row r="179" spans="1:11" s="248" customFormat="1" x14ac:dyDescent="0.2">
      <c r="B179" s="269" t="s">
        <v>366</v>
      </c>
      <c r="D179" s="548" t="s">
        <v>365</v>
      </c>
      <c r="E179" s="548"/>
    </row>
    <row r="180" spans="1:11" s="248" customFormat="1" x14ac:dyDescent="0.2">
      <c r="A180" s="263"/>
      <c r="B180" s="263"/>
      <c r="C180" s="263"/>
      <c r="D180" s="263" t="s">
        <v>167</v>
      </c>
      <c r="E180" s="263" t="s">
        <v>168</v>
      </c>
      <c r="F180" s="263" t="s">
        <v>184</v>
      </c>
      <c r="G180" s="263" t="s">
        <v>185</v>
      </c>
      <c r="H180" s="263" t="s">
        <v>186</v>
      </c>
      <c r="I180" s="263" t="s">
        <v>187</v>
      </c>
      <c r="J180" s="263" t="s">
        <v>188</v>
      </c>
      <c r="K180" s="263" t="s">
        <v>350</v>
      </c>
    </row>
    <row r="181" spans="1:11" s="248" customFormat="1" ht="38.25" x14ac:dyDescent="0.2">
      <c r="D181" s="265"/>
      <c r="E181" s="264" t="s">
        <v>349</v>
      </c>
      <c r="F181" s="252" t="s">
        <v>348</v>
      </c>
      <c r="G181" s="266"/>
      <c r="H181" s="265"/>
      <c r="I181" s="264" t="s">
        <v>347</v>
      </c>
      <c r="J181" s="264" t="s">
        <v>346</v>
      </c>
      <c r="K181" s="264" t="s">
        <v>345</v>
      </c>
    </row>
    <row r="182" spans="1:11" s="248" customFormat="1" x14ac:dyDescent="0.2">
      <c r="D182" s="265"/>
      <c r="E182" s="264"/>
      <c r="F182" s="252"/>
      <c r="G182" s="127" t="str">
        <f>G51</f>
        <v>Unloaded</v>
      </c>
      <c r="H182" s="265"/>
      <c r="I182" s="264"/>
      <c r="J182" s="264"/>
      <c r="K182" s="264"/>
    </row>
    <row r="183" spans="1:11" s="248" customFormat="1" x14ac:dyDescent="0.2">
      <c r="A183" s="255"/>
      <c r="B183" s="255"/>
      <c r="C183" s="255"/>
      <c r="D183" s="255" t="str">
        <f>D$52</f>
        <v>Forecast</v>
      </c>
      <c r="E183" s="255" t="str">
        <f t="shared" ref="E183:J183" si="27">E$52</f>
        <v>Corporate</v>
      </c>
      <c r="F183" s="255" t="str">
        <f t="shared" si="27"/>
        <v xml:space="preserve">Total </v>
      </c>
      <c r="G183" s="127" t="str">
        <f>G52</f>
        <v>Total</v>
      </c>
      <c r="H183" s="255" t="str">
        <f t="shared" si="27"/>
        <v>Prior Period</v>
      </c>
      <c r="I183" s="255" t="str">
        <f t="shared" si="27"/>
        <v>Over Heads</v>
      </c>
      <c r="J183" s="255" t="str">
        <f t="shared" si="27"/>
        <v>Forecast</v>
      </c>
      <c r="K183" s="60" t="str">
        <f>K$52</f>
        <v>Forecast Period</v>
      </c>
    </row>
    <row r="184" spans="1:11" s="248" customFormat="1" x14ac:dyDescent="0.2">
      <c r="A184" s="102" t="s">
        <v>170</v>
      </c>
      <c r="B184" s="128" t="s">
        <v>19</v>
      </c>
      <c r="C184" s="128" t="s">
        <v>20</v>
      </c>
      <c r="D184" s="263" t="str">
        <f>D$53</f>
        <v>Expenditures</v>
      </c>
      <c r="E184" s="263" t="str">
        <f t="shared" ref="E184:J184" si="28">E$53</f>
        <v>Overheads</v>
      </c>
      <c r="F184" s="263" t="str">
        <f t="shared" si="28"/>
        <v>CWIP Exp</v>
      </c>
      <c r="G184" s="129" t="str">
        <f>G53</f>
        <v>Plant Adds</v>
      </c>
      <c r="H184" s="263" t="str">
        <f t="shared" si="28"/>
        <v>CWIP Closed</v>
      </c>
      <c r="I184" s="263" t="str">
        <f t="shared" si="28"/>
        <v>Closed to PIS</v>
      </c>
      <c r="J184" s="263" t="str">
        <f t="shared" si="28"/>
        <v>Period CWIP</v>
      </c>
      <c r="K184" s="263" t="str">
        <f>K$53</f>
        <v>Incremental CWIP</v>
      </c>
    </row>
    <row r="185" spans="1:11" s="248" customFormat="1" x14ac:dyDescent="0.2">
      <c r="A185" s="65">
        <f>A177+1</f>
        <v>133</v>
      </c>
      <c r="B185" s="130" t="s">
        <v>9</v>
      </c>
      <c r="C185" s="262">
        <v>2013</v>
      </c>
      <c r="D185" s="252" t="s">
        <v>344</v>
      </c>
      <c r="E185" s="252" t="s">
        <v>344</v>
      </c>
      <c r="F185" s="252" t="s">
        <v>344</v>
      </c>
      <c r="G185" s="252" t="s">
        <v>344</v>
      </c>
      <c r="H185" s="252" t="s">
        <v>344</v>
      </c>
      <c r="I185" s="252" t="s">
        <v>344</v>
      </c>
      <c r="J185" s="88">
        <f>H25</f>
        <v>0</v>
      </c>
      <c r="K185" s="252" t="s">
        <v>344</v>
      </c>
    </row>
    <row r="186" spans="1:11" s="248" customFormat="1" x14ac:dyDescent="0.2">
      <c r="A186" s="65">
        <f>A185+1</f>
        <v>134</v>
      </c>
      <c r="B186" s="130" t="s">
        <v>10</v>
      </c>
      <c r="C186" s="262">
        <v>2014</v>
      </c>
      <c r="D186" s="261">
        <v>0</v>
      </c>
      <c r="E186" s="88">
        <v>0</v>
      </c>
      <c r="F186" s="88">
        <f>E186+D186</f>
        <v>0</v>
      </c>
      <c r="G186" s="261">
        <v>0</v>
      </c>
      <c r="H186" s="261">
        <v>0</v>
      </c>
      <c r="I186" s="88">
        <v>0</v>
      </c>
      <c r="J186" s="88">
        <f>J185+F186-G186-I186</f>
        <v>0</v>
      </c>
      <c r="K186" s="88">
        <f>J186-$J$185</f>
        <v>0</v>
      </c>
    </row>
    <row r="187" spans="1:11" s="248" customFormat="1" x14ac:dyDescent="0.2">
      <c r="A187" s="65">
        <f t="shared" ref="A187:A210" si="29">A186+1</f>
        <v>135</v>
      </c>
      <c r="B187" s="118" t="s">
        <v>11</v>
      </c>
      <c r="C187" s="262">
        <v>2014</v>
      </c>
      <c r="D187" s="261">
        <v>0</v>
      </c>
      <c r="E187" s="88">
        <v>0</v>
      </c>
      <c r="F187" s="88">
        <f t="shared" ref="F187:F209" si="30">E187+D187</f>
        <v>0</v>
      </c>
      <c r="G187" s="261">
        <v>0</v>
      </c>
      <c r="H187" s="261">
        <v>0</v>
      </c>
      <c r="I187" s="88">
        <v>0</v>
      </c>
      <c r="J187" s="88">
        <f t="shared" ref="J187:J209" si="31">J186+F187-G187-I187</f>
        <v>0</v>
      </c>
      <c r="K187" s="88">
        <f t="shared" ref="K187:K209" si="32">J187-$J$185</f>
        <v>0</v>
      </c>
    </row>
    <row r="188" spans="1:11" s="248" customFormat="1" x14ac:dyDescent="0.2">
      <c r="A188" s="65">
        <f t="shared" si="29"/>
        <v>136</v>
      </c>
      <c r="B188" s="118" t="s">
        <v>21</v>
      </c>
      <c r="C188" s="262">
        <v>2014</v>
      </c>
      <c r="D188" s="261">
        <v>0</v>
      </c>
      <c r="E188" s="88">
        <v>0</v>
      </c>
      <c r="F188" s="88">
        <f t="shared" si="30"/>
        <v>0</v>
      </c>
      <c r="G188" s="261">
        <v>0</v>
      </c>
      <c r="H188" s="261">
        <v>0</v>
      </c>
      <c r="I188" s="88">
        <v>0</v>
      </c>
      <c r="J188" s="88">
        <f t="shared" si="31"/>
        <v>0</v>
      </c>
      <c r="K188" s="88">
        <f t="shared" si="32"/>
        <v>0</v>
      </c>
    </row>
    <row r="189" spans="1:11" s="248" customFormat="1" x14ac:dyDescent="0.2">
      <c r="A189" s="65">
        <f t="shared" si="29"/>
        <v>137</v>
      </c>
      <c r="B189" s="130" t="s">
        <v>12</v>
      </c>
      <c r="C189" s="262">
        <v>2014</v>
      </c>
      <c r="D189" s="261">
        <v>0</v>
      </c>
      <c r="E189" s="88">
        <v>0</v>
      </c>
      <c r="F189" s="88">
        <f t="shared" si="30"/>
        <v>0</v>
      </c>
      <c r="G189" s="261">
        <v>0</v>
      </c>
      <c r="H189" s="261">
        <v>0</v>
      </c>
      <c r="I189" s="88">
        <v>0</v>
      </c>
      <c r="J189" s="88">
        <f t="shared" si="31"/>
        <v>0</v>
      </c>
      <c r="K189" s="88">
        <f t="shared" si="32"/>
        <v>0</v>
      </c>
    </row>
    <row r="190" spans="1:11" s="248" customFormat="1" x14ac:dyDescent="0.2">
      <c r="A190" s="65">
        <f t="shared" si="29"/>
        <v>138</v>
      </c>
      <c r="B190" s="118" t="s">
        <v>13</v>
      </c>
      <c r="C190" s="262">
        <v>2014</v>
      </c>
      <c r="D190" s="261">
        <v>0</v>
      </c>
      <c r="E190" s="88">
        <v>0</v>
      </c>
      <c r="F190" s="88">
        <f t="shared" si="30"/>
        <v>0</v>
      </c>
      <c r="G190" s="261">
        <v>0</v>
      </c>
      <c r="H190" s="261">
        <v>0</v>
      </c>
      <c r="I190" s="88">
        <v>0</v>
      </c>
      <c r="J190" s="88">
        <f t="shared" si="31"/>
        <v>0</v>
      </c>
      <c r="K190" s="88">
        <f t="shared" si="32"/>
        <v>0</v>
      </c>
    </row>
    <row r="191" spans="1:11" s="248" customFormat="1" x14ac:dyDescent="0.2">
      <c r="A191" s="65">
        <f t="shared" si="29"/>
        <v>139</v>
      </c>
      <c r="B191" s="118" t="s">
        <v>28</v>
      </c>
      <c r="C191" s="262">
        <v>2014</v>
      </c>
      <c r="D191" s="261">
        <v>0</v>
      </c>
      <c r="E191" s="88">
        <v>0</v>
      </c>
      <c r="F191" s="88">
        <f t="shared" si="30"/>
        <v>0</v>
      </c>
      <c r="G191" s="261">
        <v>0</v>
      </c>
      <c r="H191" s="261">
        <v>0</v>
      </c>
      <c r="I191" s="88">
        <v>0</v>
      </c>
      <c r="J191" s="88">
        <f t="shared" si="31"/>
        <v>0</v>
      </c>
      <c r="K191" s="88">
        <f t="shared" si="32"/>
        <v>0</v>
      </c>
    </row>
    <row r="192" spans="1:11" s="248" customFormat="1" x14ac:dyDescent="0.2">
      <c r="A192" s="65">
        <f t="shared" si="29"/>
        <v>140</v>
      </c>
      <c r="B192" s="130" t="s">
        <v>14</v>
      </c>
      <c r="C192" s="262">
        <v>2014</v>
      </c>
      <c r="D192" s="261">
        <v>0</v>
      </c>
      <c r="E192" s="88">
        <v>0</v>
      </c>
      <c r="F192" s="88">
        <f t="shared" si="30"/>
        <v>0</v>
      </c>
      <c r="G192" s="261">
        <v>0</v>
      </c>
      <c r="H192" s="261">
        <v>0</v>
      </c>
      <c r="I192" s="88">
        <v>0</v>
      </c>
      <c r="J192" s="88">
        <f t="shared" si="31"/>
        <v>0</v>
      </c>
      <c r="K192" s="88">
        <f t="shared" si="32"/>
        <v>0</v>
      </c>
    </row>
    <row r="193" spans="1:11" s="248" customFormat="1" x14ac:dyDescent="0.2">
      <c r="A193" s="65">
        <f t="shared" si="29"/>
        <v>141</v>
      </c>
      <c r="B193" s="118" t="s">
        <v>15</v>
      </c>
      <c r="C193" s="262">
        <v>2014</v>
      </c>
      <c r="D193" s="261">
        <v>0</v>
      </c>
      <c r="E193" s="88">
        <v>0</v>
      </c>
      <c r="F193" s="88">
        <f t="shared" si="30"/>
        <v>0</v>
      </c>
      <c r="G193" s="261">
        <v>0</v>
      </c>
      <c r="H193" s="261">
        <v>0</v>
      </c>
      <c r="I193" s="88">
        <v>0</v>
      </c>
      <c r="J193" s="88">
        <f t="shared" si="31"/>
        <v>0</v>
      </c>
      <c r="K193" s="88">
        <f t="shared" si="32"/>
        <v>0</v>
      </c>
    </row>
    <row r="194" spans="1:11" s="248" customFormat="1" x14ac:dyDescent="0.2">
      <c r="A194" s="65">
        <f t="shared" si="29"/>
        <v>142</v>
      </c>
      <c r="B194" s="118" t="s">
        <v>16</v>
      </c>
      <c r="C194" s="262">
        <v>2014</v>
      </c>
      <c r="D194" s="261">
        <v>0</v>
      </c>
      <c r="E194" s="88">
        <v>0</v>
      </c>
      <c r="F194" s="88">
        <f t="shared" si="30"/>
        <v>0</v>
      </c>
      <c r="G194" s="261">
        <v>0</v>
      </c>
      <c r="H194" s="261">
        <v>0</v>
      </c>
      <c r="I194" s="88">
        <v>0</v>
      </c>
      <c r="J194" s="88">
        <f t="shared" si="31"/>
        <v>0</v>
      </c>
      <c r="K194" s="88">
        <f t="shared" si="32"/>
        <v>0</v>
      </c>
    </row>
    <row r="195" spans="1:11" s="248" customFormat="1" x14ac:dyDescent="0.2">
      <c r="A195" s="65">
        <f t="shared" si="29"/>
        <v>143</v>
      </c>
      <c r="B195" s="130" t="s">
        <v>18</v>
      </c>
      <c r="C195" s="262">
        <v>2014</v>
      </c>
      <c r="D195" s="261">
        <v>0</v>
      </c>
      <c r="E195" s="88">
        <v>0</v>
      </c>
      <c r="F195" s="88">
        <f t="shared" si="30"/>
        <v>0</v>
      </c>
      <c r="G195" s="261">
        <v>0</v>
      </c>
      <c r="H195" s="261">
        <v>0</v>
      </c>
      <c r="I195" s="88">
        <v>0</v>
      </c>
      <c r="J195" s="88">
        <f t="shared" si="31"/>
        <v>0</v>
      </c>
      <c r="K195" s="88">
        <f t="shared" si="32"/>
        <v>0</v>
      </c>
    </row>
    <row r="196" spans="1:11" s="248" customFormat="1" x14ac:dyDescent="0.2">
      <c r="A196" s="65">
        <f t="shared" si="29"/>
        <v>144</v>
      </c>
      <c r="B196" s="130" t="s">
        <v>17</v>
      </c>
      <c r="C196" s="262">
        <v>2014</v>
      </c>
      <c r="D196" s="261">
        <v>0</v>
      </c>
      <c r="E196" s="88">
        <v>0</v>
      </c>
      <c r="F196" s="88">
        <f t="shared" si="30"/>
        <v>0</v>
      </c>
      <c r="G196" s="261">
        <v>0</v>
      </c>
      <c r="H196" s="261">
        <v>0</v>
      </c>
      <c r="I196" s="88">
        <v>0</v>
      </c>
      <c r="J196" s="88">
        <f t="shared" si="31"/>
        <v>0</v>
      </c>
      <c r="K196" s="88">
        <f t="shared" si="32"/>
        <v>0</v>
      </c>
    </row>
    <row r="197" spans="1:11" s="248" customFormat="1" x14ac:dyDescent="0.2">
      <c r="A197" s="65">
        <f t="shared" si="29"/>
        <v>145</v>
      </c>
      <c r="B197" s="130" t="s">
        <v>9</v>
      </c>
      <c r="C197" s="262">
        <v>2014</v>
      </c>
      <c r="D197" s="261">
        <v>0</v>
      </c>
      <c r="E197" s="88">
        <v>0</v>
      </c>
      <c r="F197" s="88">
        <f t="shared" si="30"/>
        <v>0</v>
      </c>
      <c r="G197" s="261">
        <v>0</v>
      </c>
      <c r="H197" s="261">
        <v>0</v>
      </c>
      <c r="I197" s="88">
        <v>0</v>
      </c>
      <c r="J197" s="88">
        <f t="shared" si="31"/>
        <v>0</v>
      </c>
      <c r="K197" s="88">
        <f t="shared" si="32"/>
        <v>0</v>
      </c>
    </row>
    <row r="198" spans="1:11" s="248" customFormat="1" x14ac:dyDescent="0.2">
      <c r="A198" s="65">
        <f t="shared" si="29"/>
        <v>146</v>
      </c>
      <c r="B198" s="130" t="s">
        <v>10</v>
      </c>
      <c r="C198" s="262">
        <v>2015</v>
      </c>
      <c r="D198" s="261">
        <v>0</v>
      </c>
      <c r="E198" s="88">
        <v>0</v>
      </c>
      <c r="F198" s="88">
        <f t="shared" si="30"/>
        <v>0</v>
      </c>
      <c r="G198" s="261">
        <v>0</v>
      </c>
      <c r="H198" s="261">
        <v>0</v>
      </c>
      <c r="I198" s="88">
        <v>0</v>
      </c>
      <c r="J198" s="88">
        <f t="shared" si="31"/>
        <v>0</v>
      </c>
      <c r="K198" s="88">
        <f t="shared" si="32"/>
        <v>0</v>
      </c>
    </row>
    <row r="199" spans="1:11" s="248" customFormat="1" x14ac:dyDescent="0.2">
      <c r="A199" s="65">
        <f t="shared" si="29"/>
        <v>147</v>
      </c>
      <c r="B199" s="118" t="s">
        <v>11</v>
      </c>
      <c r="C199" s="262">
        <v>2015</v>
      </c>
      <c r="D199" s="261">
        <v>0</v>
      </c>
      <c r="E199" s="88">
        <v>0</v>
      </c>
      <c r="F199" s="88">
        <f t="shared" si="30"/>
        <v>0</v>
      </c>
      <c r="G199" s="261">
        <v>0</v>
      </c>
      <c r="H199" s="261">
        <v>0</v>
      </c>
      <c r="I199" s="88">
        <v>0</v>
      </c>
      <c r="J199" s="88">
        <f t="shared" si="31"/>
        <v>0</v>
      </c>
      <c r="K199" s="88">
        <f t="shared" si="32"/>
        <v>0</v>
      </c>
    </row>
    <row r="200" spans="1:11" s="248" customFormat="1" x14ac:dyDescent="0.2">
      <c r="A200" s="65">
        <f t="shared" si="29"/>
        <v>148</v>
      </c>
      <c r="B200" s="118" t="s">
        <v>21</v>
      </c>
      <c r="C200" s="262">
        <v>2015</v>
      </c>
      <c r="D200" s="261">
        <v>0</v>
      </c>
      <c r="E200" s="88">
        <v>0</v>
      </c>
      <c r="F200" s="88">
        <f t="shared" si="30"/>
        <v>0</v>
      </c>
      <c r="G200" s="261">
        <v>0</v>
      </c>
      <c r="H200" s="261">
        <v>0</v>
      </c>
      <c r="I200" s="88">
        <v>0</v>
      </c>
      <c r="J200" s="88">
        <f t="shared" si="31"/>
        <v>0</v>
      </c>
      <c r="K200" s="88">
        <f t="shared" si="32"/>
        <v>0</v>
      </c>
    </row>
    <row r="201" spans="1:11" s="248" customFormat="1" x14ac:dyDescent="0.2">
      <c r="A201" s="65">
        <f t="shared" si="29"/>
        <v>149</v>
      </c>
      <c r="B201" s="130" t="s">
        <v>12</v>
      </c>
      <c r="C201" s="262">
        <v>2015</v>
      </c>
      <c r="D201" s="261">
        <v>0</v>
      </c>
      <c r="E201" s="88">
        <v>0</v>
      </c>
      <c r="F201" s="88">
        <f t="shared" si="30"/>
        <v>0</v>
      </c>
      <c r="G201" s="261">
        <v>0</v>
      </c>
      <c r="H201" s="261">
        <v>0</v>
      </c>
      <c r="I201" s="88">
        <v>0</v>
      </c>
      <c r="J201" s="88">
        <f t="shared" si="31"/>
        <v>0</v>
      </c>
      <c r="K201" s="88">
        <f t="shared" si="32"/>
        <v>0</v>
      </c>
    </row>
    <row r="202" spans="1:11" s="248" customFormat="1" x14ac:dyDescent="0.2">
      <c r="A202" s="65">
        <f t="shared" si="29"/>
        <v>150</v>
      </c>
      <c r="B202" s="118" t="s">
        <v>13</v>
      </c>
      <c r="C202" s="262">
        <v>2015</v>
      </c>
      <c r="D202" s="261">
        <v>0</v>
      </c>
      <c r="E202" s="88">
        <v>0</v>
      </c>
      <c r="F202" s="88">
        <f t="shared" si="30"/>
        <v>0</v>
      </c>
      <c r="G202" s="261">
        <v>0</v>
      </c>
      <c r="H202" s="261">
        <v>0</v>
      </c>
      <c r="I202" s="88">
        <v>0</v>
      </c>
      <c r="J202" s="88">
        <f t="shared" si="31"/>
        <v>0</v>
      </c>
      <c r="K202" s="88">
        <f t="shared" si="32"/>
        <v>0</v>
      </c>
    </row>
    <row r="203" spans="1:11" s="248" customFormat="1" x14ac:dyDescent="0.2">
      <c r="A203" s="65">
        <f t="shared" si="29"/>
        <v>151</v>
      </c>
      <c r="B203" s="118" t="s">
        <v>28</v>
      </c>
      <c r="C203" s="262">
        <v>2015</v>
      </c>
      <c r="D203" s="261">
        <v>0</v>
      </c>
      <c r="E203" s="88">
        <v>0</v>
      </c>
      <c r="F203" s="88">
        <f t="shared" si="30"/>
        <v>0</v>
      </c>
      <c r="G203" s="261">
        <v>0</v>
      </c>
      <c r="H203" s="261">
        <v>0</v>
      </c>
      <c r="I203" s="88">
        <v>0</v>
      </c>
      <c r="J203" s="88">
        <f t="shared" si="31"/>
        <v>0</v>
      </c>
      <c r="K203" s="88">
        <f t="shared" si="32"/>
        <v>0</v>
      </c>
    </row>
    <row r="204" spans="1:11" s="248" customFormat="1" x14ac:dyDescent="0.2">
      <c r="A204" s="65">
        <f t="shared" si="29"/>
        <v>152</v>
      </c>
      <c r="B204" s="130" t="s">
        <v>14</v>
      </c>
      <c r="C204" s="262">
        <v>2015</v>
      </c>
      <c r="D204" s="261">
        <v>0</v>
      </c>
      <c r="E204" s="88">
        <v>0</v>
      </c>
      <c r="F204" s="88">
        <f t="shared" si="30"/>
        <v>0</v>
      </c>
      <c r="G204" s="261">
        <v>0</v>
      </c>
      <c r="H204" s="261">
        <v>0</v>
      </c>
      <c r="I204" s="88">
        <v>0</v>
      </c>
      <c r="J204" s="88">
        <f t="shared" si="31"/>
        <v>0</v>
      </c>
      <c r="K204" s="88">
        <f t="shared" si="32"/>
        <v>0</v>
      </c>
    </row>
    <row r="205" spans="1:11" s="248" customFormat="1" x14ac:dyDescent="0.2">
      <c r="A205" s="65">
        <f t="shared" si="29"/>
        <v>153</v>
      </c>
      <c r="B205" s="118" t="s">
        <v>15</v>
      </c>
      <c r="C205" s="262">
        <v>2015</v>
      </c>
      <c r="D205" s="261">
        <v>0</v>
      </c>
      <c r="E205" s="88">
        <v>0</v>
      </c>
      <c r="F205" s="88">
        <f t="shared" si="30"/>
        <v>0</v>
      </c>
      <c r="G205" s="261">
        <v>0</v>
      </c>
      <c r="H205" s="261">
        <v>0</v>
      </c>
      <c r="I205" s="88">
        <v>0</v>
      </c>
      <c r="J205" s="88">
        <f t="shared" si="31"/>
        <v>0</v>
      </c>
      <c r="K205" s="88">
        <f t="shared" si="32"/>
        <v>0</v>
      </c>
    </row>
    <row r="206" spans="1:11" s="248" customFormat="1" x14ac:dyDescent="0.2">
      <c r="A206" s="65">
        <f t="shared" si="29"/>
        <v>154</v>
      </c>
      <c r="B206" s="118" t="s">
        <v>16</v>
      </c>
      <c r="C206" s="262">
        <v>2015</v>
      </c>
      <c r="D206" s="261">
        <v>0</v>
      </c>
      <c r="E206" s="88">
        <v>0</v>
      </c>
      <c r="F206" s="88">
        <f t="shared" si="30"/>
        <v>0</v>
      </c>
      <c r="G206" s="261">
        <v>0</v>
      </c>
      <c r="H206" s="261">
        <v>0</v>
      </c>
      <c r="I206" s="88">
        <v>0</v>
      </c>
      <c r="J206" s="88">
        <f t="shared" si="31"/>
        <v>0</v>
      </c>
      <c r="K206" s="88">
        <f t="shared" si="32"/>
        <v>0</v>
      </c>
    </row>
    <row r="207" spans="1:11" s="248" customFormat="1" x14ac:dyDescent="0.2">
      <c r="A207" s="65">
        <f t="shared" si="29"/>
        <v>155</v>
      </c>
      <c r="B207" s="118" t="s">
        <v>18</v>
      </c>
      <c r="C207" s="262">
        <v>2015</v>
      </c>
      <c r="D207" s="261">
        <v>0</v>
      </c>
      <c r="E207" s="88">
        <v>0</v>
      </c>
      <c r="F207" s="88">
        <f t="shared" si="30"/>
        <v>0</v>
      </c>
      <c r="G207" s="261">
        <v>0</v>
      </c>
      <c r="H207" s="261">
        <v>0</v>
      </c>
      <c r="I207" s="88">
        <v>0</v>
      </c>
      <c r="J207" s="88">
        <f t="shared" si="31"/>
        <v>0</v>
      </c>
      <c r="K207" s="88">
        <f t="shared" si="32"/>
        <v>0</v>
      </c>
    </row>
    <row r="208" spans="1:11" s="248" customFormat="1" x14ac:dyDescent="0.2">
      <c r="A208" s="65">
        <f t="shared" si="29"/>
        <v>156</v>
      </c>
      <c r="B208" s="118" t="s">
        <v>17</v>
      </c>
      <c r="C208" s="262">
        <v>2015</v>
      </c>
      <c r="D208" s="261">
        <v>0</v>
      </c>
      <c r="E208" s="88">
        <v>0</v>
      </c>
      <c r="F208" s="88">
        <f t="shared" si="30"/>
        <v>0</v>
      </c>
      <c r="G208" s="261">
        <v>0</v>
      </c>
      <c r="H208" s="261">
        <v>0</v>
      </c>
      <c r="I208" s="88">
        <v>0</v>
      </c>
      <c r="J208" s="88">
        <f t="shared" si="31"/>
        <v>0</v>
      </c>
      <c r="K208" s="88">
        <f t="shared" si="32"/>
        <v>0</v>
      </c>
    </row>
    <row r="209" spans="1:11" s="248" customFormat="1" x14ac:dyDescent="0.2">
      <c r="A209" s="65">
        <f t="shared" si="29"/>
        <v>157</v>
      </c>
      <c r="B209" s="118" t="s">
        <v>9</v>
      </c>
      <c r="C209" s="262">
        <v>2015</v>
      </c>
      <c r="D209" s="261">
        <v>0</v>
      </c>
      <c r="E209" s="88">
        <v>0</v>
      </c>
      <c r="F209" s="88">
        <f t="shared" si="30"/>
        <v>0</v>
      </c>
      <c r="G209" s="261">
        <v>0</v>
      </c>
      <c r="H209" s="261">
        <v>0</v>
      </c>
      <c r="I209" s="88">
        <v>0</v>
      </c>
      <c r="J209" s="88">
        <f t="shared" si="31"/>
        <v>0</v>
      </c>
      <c r="K209" s="260">
        <f t="shared" si="32"/>
        <v>0</v>
      </c>
    </row>
    <row r="210" spans="1:11" s="248" customFormat="1" x14ac:dyDescent="0.2">
      <c r="A210" s="65">
        <f t="shared" si="29"/>
        <v>158</v>
      </c>
      <c r="B210"/>
      <c r="C210" s="259" t="s">
        <v>343</v>
      </c>
      <c r="D210"/>
      <c r="E210"/>
      <c r="F210"/>
      <c r="G210"/>
      <c r="H210"/>
      <c r="I210"/>
      <c r="J210"/>
      <c r="K210" s="258">
        <f>AVERAGE(K197:K209)</f>
        <v>0</v>
      </c>
    </row>
    <row r="211" spans="1:11" s="248" customFormat="1" x14ac:dyDescent="0.2">
      <c r="A211" s="65"/>
      <c r="B211"/>
      <c r="C211" s="259"/>
      <c r="D211"/>
      <c r="E211"/>
      <c r="F211"/>
      <c r="G211"/>
      <c r="H211"/>
      <c r="I211"/>
      <c r="J211"/>
      <c r="K211" s="258"/>
    </row>
    <row r="212" spans="1:11" s="248" customFormat="1" x14ac:dyDescent="0.2">
      <c r="B212" s="269" t="s">
        <v>364</v>
      </c>
      <c r="D212" s="548" t="s">
        <v>363</v>
      </c>
      <c r="E212" s="548"/>
    </row>
    <row r="213" spans="1:11" s="248" customFormat="1" x14ac:dyDescent="0.2">
      <c r="D213" s="265"/>
      <c r="E213" s="265"/>
      <c r="F213" s="265"/>
      <c r="G213" s="60" t="str">
        <f>G51</f>
        <v>Unloaded</v>
      </c>
      <c r="H213" s="265"/>
      <c r="I213" s="265"/>
    </row>
    <row r="214" spans="1:11" s="248" customFormat="1" x14ac:dyDescent="0.2">
      <c r="A214" s="255"/>
      <c r="B214" s="255"/>
      <c r="C214" s="255"/>
      <c r="D214" s="255" t="str">
        <f>D$52</f>
        <v>Forecast</v>
      </c>
      <c r="E214" s="255" t="str">
        <f t="shared" ref="E214:J214" si="33">E$52</f>
        <v>Corporate</v>
      </c>
      <c r="F214" s="255" t="str">
        <f t="shared" si="33"/>
        <v xml:space="preserve">Total </v>
      </c>
      <c r="G214" s="60" t="str">
        <f>G52</f>
        <v>Total</v>
      </c>
      <c r="H214" s="255" t="str">
        <f t="shared" si="33"/>
        <v>Prior Period</v>
      </c>
      <c r="I214" s="255" t="str">
        <f t="shared" si="33"/>
        <v>Over Heads</v>
      </c>
      <c r="J214" s="255" t="str">
        <f t="shared" si="33"/>
        <v>Forecast</v>
      </c>
      <c r="K214" s="60" t="str">
        <f>K$52</f>
        <v>Forecast Period</v>
      </c>
    </row>
    <row r="215" spans="1:11" s="248" customFormat="1" x14ac:dyDescent="0.2">
      <c r="A215" s="102" t="s">
        <v>170</v>
      </c>
      <c r="B215" s="128" t="s">
        <v>19</v>
      </c>
      <c r="C215" s="128" t="s">
        <v>20</v>
      </c>
      <c r="D215" s="263" t="str">
        <f>D$53</f>
        <v>Expenditures</v>
      </c>
      <c r="E215" s="263" t="str">
        <f t="shared" ref="E215:J215" si="34">E$53</f>
        <v>Overheads</v>
      </c>
      <c r="F215" s="263" t="str">
        <f t="shared" si="34"/>
        <v>CWIP Exp</v>
      </c>
      <c r="G215" s="64" t="str">
        <f>G53</f>
        <v>Plant Adds</v>
      </c>
      <c r="H215" s="263" t="str">
        <f t="shared" si="34"/>
        <v>CWIP Closed</v>
      </c>
      <c r="I215" s="263" t="str">
        <f t="shared" si="34"/>
        <v>Closed to PIS</v>
      </c>
      <c r="J215" s="263" t="str">
        <f t="shared" si="34"/>
        <v>Period CWIP</v>
      </c>
      <c r="K215" s="263" t="str">
        <f>K$53</f>
        <v>Incremental CWIP</v>
      </c>
    </row>
    <row r="216" spans="1:11" s="248" customFormat="1" x14ac:dyDescent="0.2">
      <c r="A216" s="65">
        <f>A210+1</f>
        <v>159</v>
      </c>
      <c r="B216" s="130" t="s">
        <v>9</v>
      </c>
      <c r="C216" s="262">
        <v>2013</v>
      </c>
      <c r="D216" s="252" t="s">
        <v>344</v>
      </c>
      <c r="E216" s="252" t="s">
        <v>344</v>
      </c>
      <c r="F216" s="252" t="s">
        <v>344</v>
      </c>
      <c r="G216" s="252" t="s">
        <v>344</v>
      </c>
      <c r="H216" s="252" t="s">
        <v>344</v>
      </c>
      <c r="I216" s="252" t="s">
        <v>344</v>
      </c>
      <c r="J216" s="88">
        <f>I25</f>
        <v>10206388.680000002</v>
      </c>
      <c r="K216" s="252" t="s">
        <v>344</v>
      </c>
    </row>
    <row r="217" spans="1:11" s="248" customFormat="1" x14ac:dyDescent="0.2">
      <c r="A217" s="65">
        <f>A216+1</f>
        <v>160</v>
      </c>
      <c r="B217" s="130" t="s">
        <v>10</v>
      </c>
      <c r="C217" s="262">
        <v>2014</v>
      </c>
      <c r="D217" s="261">
        <v>1400000</v>
      </c>
      <c r="E217" s="88">
        <v>105000</v>
      </c>
      <c r="F217" s="88">
        <f>E217+D217</f>
        <v>1505000</v>
      </c>
      <c r="G217" s="261">
        <v>671621.65</v>
      </c>
      <c r="H217" s="261">
        <v>-278378.35000000003</v>
      </c>
      <c r="I217" s="88">
        <v>71250</v>
      </c>
      <c r="J217" s="88">
        <f>J216+F217-G217-I217</f>
        <v>10968517.030000001</v>
      </c>
      <c r="K217" s="88">
        <f>J217-$J$216</f>
        <v>762128.34999999963</v>
      </c>
    </row>
    <row r="218" spans="1:11" s="248" customFormat="1" x14ac:dyDescent="0.2">
      <c r="A218" s="65">
        <f t="shared" ref="A218:A241" si="35">A217+1</f>
        <v>161</v>
      </c>
      <c r="B218" s="118" t="s">
        <v>11</v>
      </c>
      <c r="C218" s="262">
        <v>2014</v>
      </c>
      <c r="D218" s="261">
        <v>889000</v>
      </c>
      <c r="E218" s="88">
        <v>66675</v>
      </c>
      <c r="F218" s="88">
        <f t="shared" ref="F218:F240" si="36">E218+D218</f>
        <v>955675</v>
      </c>
      <c r="G218" s="261">
        <v>657000</v>
      </c>
      <c r="H218" s="261">
        <v>0</v>
      </c>
      <c r="I218" s="88">
        <v>49275</v>
      </c>
      <c r="J218" s="88">
        <f t="shared" ref="J218:J240" si="37">J217+F218-G218-I218</f>
        <v>11217917.030000001</v>
      </c>
      <c r="K218" s="88">
        <f t="shared" ref="K218:K240" si="38">J218-$J$216</f>
        <v>1011528.3499999996</v>
      </c>
    </row>
    <row r="219" spans="1:11" s="248" customFormat="1" x14ac:dyDescent="0.2">
      <c r="A219" s="65">
        <f t="shared" si="35"/>
        <v>162</v>
      </c>
      <c r="B219" s="118" t="s">
        <v>21</v>
      </c>
      <c r="C219" s="262">
        <v>2014</v>
      </c>
      <c r="D219" s="261">
        <v>1275000</v>
      </c>
      <c r="E219" s="88">
        <v>95625</v>
      </c>
      <c r="F219" s="88">
        <f t="shared" si="36"/>
        <v>1370625</v>
      </c>
      <c r="G219" s="261">
        <v>12441767.029999979</v>
      </c>
      <c r="H219" s="261">
        <v>10484767.029999979</v>
      </c>
      <c r="I219" s="88">
        <v>146775</v>
      </c>
      <c r="J219" s="88">
        <f t="shared" si="37"/>
        <v>2.2351741790771484E-8</v>
      </c>
      <c r="K219" s="88">
        <f t="shared" si="38"/>
        <v>-10206388.679999979</v>
      </c>
    </row>
    <row r="220" spans="1:11" s="248" customFormat="1" x14ac:dyDescent="0.2">
      <c r="A220" s="65">
        <f t="shared" si="35"/>
        <v>163</v>
      </c>
      <c r="B220" s="130" t="s">
        <v>12</v>
      </c>
      <c r="C220" s="262">
        <v>2014</v>
      </c>
      <c r="D220" s="261">
        <v>1310000</v>
      </c>
      <c r="E220" s="88">
        <v>98250</v>
      </c>
      <c r="F220" s="88">
        <f t="shared" si="36"/>
        <v>1408250</v>
      </c>
      <c r="G220" s="261">
        <v>1310000</v>
      </c>
      <c r="H220" s="261">
        <v>0</v>
      </c>
      <c r="I220" s="88">
        <v>98250</v>
      </c>
      <c r="J220" s="88">
        <f t="shared" si="37"/>
        <v>2.2351741790771484E-8</v>
      </c>
      <c r="K220" s="88">
        <f t="shared" si="38"/>
        <v>-10206388.679999979</v>
      </c>
    </row>
    <row r="221" spans="1:11" s="248" customFormat="1" x14ac:dyDescent="0.2">
      <c r="A221" s="65">
        <f t="shared" si="35"/>
        <v>164</v>
      </c>
      <c r="B221" s="118" t="s">
        <v>13</v>
      </c>
      <c r="C221" s="262">
        <v>2014</v>
      </c>
      <c r="D221" s="261">
        <v>500000</v>
      </c>
      <c r="E221" s="88">
        <v>37500</v>
      </c>
      <c r="F221" s="88">
        <f t="shared" si="36"/>
        <v>537500</v>
      </c>
      <c r="G221" s="261">
        <v>500000</v>
      </c>
      <c r="H221" s="261">
        <v>0</v>
      </c>
      <c r="I221" s="88">
        <v>37500</v>
      </c>
      <c r="J221" s="88">
        <f t="shared" si="37"/>
        <v>2.2351741790771484E-8</v>
      </c>
      <c r="K221" s="88">
        <f t="shared" si="38"/>
        <v>-10206388.679999979</v>
      </c>
    </row>
    <row r="222" spans="1:11" s="248" customFormat="1" x14ac:dyDescent="0.2">
      <c r="A222" s="65">
        <f t="shared" si="35"/>
        <v>165</v>
      </c>
      <c r="B222" s="118" t="s">
        <v>28</v>
      </c>
      <c r="C222" s="262">
        <v>2014</v>
      </c>
      <c r="D222" s="261">
        <v>600000</v>
      </c>
      <c r="E222" s="88">
        <v>45000</v>
      </c>
      <c r="F222" s="88">
        <f t="shared" si="36"/>
        <v>645000</v>
      </c>
      <c r="G222" s="261">
        <v>600000</v>
      </c>
      <c r="H222" s="261">
        <v>0</v>
      </c>
      <c r="I222" s="88">
        <v>45000</v>
      </c>
      <c r="J222" s="88">
        <f t="shared" si="37"/>
        <v>2.2351741790771484E-8</v>
      </c>
      <c r="K222" s="88">
        <f t="shared" si="38"/>
        <v>-10206388.679999979</v>
      </c>
    </row>
    <row r="223" spans="1:11" s="248" customFormat="1" x14ac:dyDescent="0.2">
      <c r="A223" s="65">
        <f t="shared" si="35"/>
        <v>166</v>
      </c>
      <c r="B223" s="130" t="s">
        <v>14</v>
      </c>
      <c r="C223" s="262">
        <v>2014</v>
      </c>
      <c r="D223" s="261">
        <v>800000</v>
      </c>
      <c r="E223" s="88">
        <v>60000</v>
      </c>
      <c r="F223" s="88">
        <f t="shared" si="36"/>
        <v>860000</v>
      </c>
      <c r="G223" s="261">
        <v>800000</v>
      </c>
      <c r="H223" s="261">
        <v>0</v>
      </c>
      <c r="I223" s="88">
        <v>60000</v>
      </c>
      <c r="J223" s="88">
        <f t="shared" si="37"/>
        <v>2.2351741790771484E-8</v>
      </c>
      <c r="K223" s="88">
        <f t="shared" si="38"/>
        <v>-10206388.679999979</v>
      </c>
    </row>
    <row r="224" spans="1:11" s="248" customFormat="1" x14ac:dyDescent="0.2">
      <c r="A224" s="65">
        <f t="shared" si="35"/>
        <v>167</v>
      </c>
      <c r="B224" s="118" t="s">
        <v>15</v>
      </c>
      <c r="C224" s="262">
        <v>2014</v>
      </c>
      <c r="D224" s="261">
        <v>1300000</v>
      </c>
      <c r="E224" s="88">
        <v>97500</v>
      </c>
      <c r="F224" s="88">
        <f t="shared" si="36"/>
        <v>1397500</v>
      </c>
      <c r="G224" s="261">
        <v>1300000</v>
      </c>
      <c r="H224" s="261">
        <v>0</v>
      </c>
      <c r="I224" s="88">
        <v>97500</v>
      </c>
      <c r="J224" s="88">
        <f t="shared" si="37"/>
        <v>2.2351741790771484E-8</v>
      </c>
      <c r="K224" s="88">
        <f t="shared" si="38"/>
        <v>-10206388.679999979</v>
      </c>
    </row>
    <row r="225" spans="1:11" s="248" customFormat="1" x14ac:dyDescent="0.2">
      <c r="A225" s="65">
        <f t="shared" si="35"/>
        <v>168</v>
      </c>
      <c r="B225" s="118" t="s">
        <v>16</v>
      </c>
      <c r="C225" s="262">
        <v>2014</v>
      </c>
      <c r="D225" s="261">
        <v>1200000</v>
      </c>
      <c r="E225" s="88">
        <v>90000</v>
      </c>
      <c r="F225" s="88">
        <f t="shared" si="36"/>
        <v>1290000</v>
      </c>
      <c r="G225" s="261">
        <v>1200000</v>
      </c>
      <c r="H225" s="261">
        <v>0</v>
      </c>
      <c r="I225" s="88">
        <v>90000</v>
      </c>
      <c r="J225" s="88">
        <f t="shared" si="37"/>
        <v>2.2351741790771484E-8</v>
      </c>
      <c r="K225" s="88">
        <f t="shared" si="38"/>
        <v>-10206388.679999979</v>
      </c>
    </row>
    <row r="226" spans="1:11" s="248" customFormat="1" x14ac:dyDescent="0.2">
      <c r="A226" s="65">
        <f t="shared" si="35"/>
        <v>169</v>
      </c>
      <c r="B226" s="130" t="s">
        <v>18</v>
      </c>
      <c r="C226" s="262">
        <v>2014</v>
      </c>
      <c r="D226" s="261">
        <v>1200000</v>
      </c>
      <c r="E226" s="88">
        <v>90000</v>
      </c>
      <c r="F226" s="88">
        <f t="shared" si="36"/>
        <v>1290000</v>
      </c>
      <c r="G226" s="261">
        <v>1200000</v>
      </c>
      <c r="H226" s="261">
        <v>0</v>
      </c>
      <c r="I226" s="88">
        <v>90000</v>
      </c>
      <c r="J226" s="88">
        <f t="shared" si="37"/>
        <v>2.2351741790771484E-8</v>
      </c>
      <c r="K226" s="88">
        <f t="shared" si="38"/>
        <v>-10206388.679999979</v>
      </c>
    </row>
    <row r="227" spans="1:11" s="248" customFormat="1" x14ac:dyDescent="0.2">
      <c r="A227" s="65">
        <f t="shared" si="35"/>
        <v>170</v>
      </c>
      <c r="B227" s="130" t="s">
        <v>17</v>
      </c>
      <c r="C227" s="262">
        <v>2014</v>
      </c>
      <c r="D227" s="261">
        <v>1300000</v>
      </c>
      <c r="E227" s="88">
        <v>97500</v>
      </c>
      <c r="F227" s="88">
        <f t="shared" si="36"/>
        <v>1397500</v>
      </c>
      <c r="G227" s="261">
        <v>1300000</v>
      </c>
      <c r="H227" s="261">
        <v>0</v>
      </c>
      <c r="I227" s="88">
        <v>97500</v>
      </c>
      <c r="J227" s="88">
        <f t="shared" si="37"/>
        <v>2.2351741790771484E-8</v>
      </c>
      <c r="K227" s="88">
        <f t="shared" si="38"/>
        <v>-10206388.679999979</v>
      </c>
    </row>
    <row r="228" spans="1:11" s="248" customFormat="1" x14ac:dyDescent="0.2">
      <c r="A228" s="65">
        <f t="shared" si="35"/>
        <v>171</v>
      </c>
      <c r="B228" s="130" t="s">
        <v>9</v>
      </c>
      <c r="C228" s="262">
        <v>2014</v>
      </c>
      <c r="D228" s="261">
        <v>1800000</v>
      </c>
      <c r="E228" s="88">
        <v>135000</v>
      </c>
      <c r="F228" s="88">
        <f t="shared" si="36"/>
        <v>1935000</v>
      </c>
      <c r="G228" s="261">
        <v>1800000</v>
      </c>
      <c r="H228" s="261">
        <v>0</v>
      </c>
      <c r="I228" s="88">
        <v>135000</v>
      </c>
      <c r="J228" s="88">
        <f t="shared" si="37"/>
        <v>2.2351741790771484E-8</v>
      </c>
      <c r="K228" s="88">
        <f t="shared" si="38"/>
        <v>-10206388.679999979</v>
      </c>
    </row>
    <row r="229" spans="1:11" s="248" customFormat="1" x14ac:dyDescent="0.2">
      <c r="A229" s="65">
        <f t="shared" si="35"/>
        <v>172</v>
      </c>
      <c r="B229" s="130" t="s">
        <v>10</v>
      </c>
      <c r="C229" s="262">
        <v>2015</v>
      </c>
      <c r="D229" s="261">
        <v>1100000</v>
      </c>
      <c r="E229" s="88">
        <v>82500</v>
      </c>
      <c r="F229" s="88">
        <f t="shared" si="36"/>
        <v>1182500</v>
      </c>
      <c r="G229" s="261">
        <v>1100000</v>
      </c>
      <c r="H229" s="261">
        <v>0</v>
      </c>
      <c r="I229" s="88">
        <v>82500</v>
      </c>
      <c r="J229" s="88">
        <f t="shared" si="37"/>
        <v>2.2351741790771484E-8</v>
      </c>
      <c r="K229" s="88">
        <f t="shared" si="38"/>
        <v>-10206388.679999979</v>
      </c>
    </row>
    <row r="230" spans="1:11" s="248" customFormat="1" x14ac:dyDescent="0.2">
      <c r="A230" s="65">
        <f t="shared" si="35"/>
        <v>173</v>
      </c>
      <c r="B230" s="118" t="s">
        <v>11</v>
      </c>
      <c r="C230" s="262">
        <v>2015</v>
      </c>
      <c r="D230" s="261">
        <v>900000</v>
      </c>
      <c r="E230" s="88">
        <v>67500</v>
      </c>
      <c r="F230" s="88">
        <f t="shared" si="36"/>
        <v>967500</v>
      </c>
      <c r="G230" s="261">
        <v>900000</v>
      </c>
      <c r="H230" s="261">
        <v>0</v>
      </c>
      <c r="I230" s="88">
        <v>67500</v>
      </c>
      <c r="J230" s="88">
        <f t="shared" si="37"/>
        <v>2.2351741790771484E-8</v>
      </c>
      <c r="K230" s="88">
        <f t="shared" si="38"/>
        <v>-10206388.679999979</v>
      </c>
    </row>
    <row r="231" spans="1:11" s="248" customFormat="1" x14ac:dyDescent="0.2">
      <c r="A231" s="65">
        <f t="shared" si="35"/>
        <v>174</v>
      </c>
      <c r="B231" s="118" t="s">
        <v>21</v>
      </c>
      <c r="C231" s="262">
        <v>2015</v>
      </c>
      <c r="D231" s="261">
        <v>500000</v>
      </c>
      <c r="E231" s="88">
        <v>37500</v>
      </c>
      <c r="F231" s="88">
        <f t="shared" si="36"/>
        <v>537500</v>
      </c>
      <c r="G231" s="261">
        <v>500000</v>
      </c>
      <c r="H231" s="261">
        <v>0</v>
      </c>
      <c r="I231" s="88">
        <v>37500</v>
      </c>
      <c r="J231" s="88">
        <f t="shared" si="37"/>
        <v>2.2351741790771484E-8</v>
      </c>
      <c r="K231" s="88">
        <f t="shared" si="38"/>
        <v>-10206388.679999979</v>
      </c>
    </row>
    <row r="232" spans="1:11" s="248" customFormat="1" x14ac:dyDescent="0.2">
      <c r="A232" s="65">
        <f t="shared" si="35"/>
        <v>175</v>
      </c>
      <c r="B232" s="130" t="s">
        <v>12</v>
      </c>
      <c r="C232" s="262">
        <v>2015</v>
      </c>
      <c r="D232" s="261">
        <v>300000</v>
      </c>
      <c r="E232" s="88">
        <v>22500</v>
      </c>
      <c r="F232" s="88">
        <f t="shared" si="36"/>
        <v>322500</v>
      </c>
      <c r="G232" s="261">
        <v>300000</v>
      </c>
      <c r="H232" s="261">
        <v>0</v>
      </c>
      <c r="I232" s="88">
        <v>22500</v>
      </c>
      <c r="J232" s="88">
        <f t="shared" si="37"/>
        <v>2.2351741790771484E-8</v>
      </c>
      <c r="K232" s="88">
        <f t="shared" si="38"/>
        <v>-10206388.679999979</v>
      </c>
    </row>
    <row r="233" spans="1:11" s="248" customFormat="1" x14ac:dyDescent="0.2">
      <c r="A233" s="65">
        <f t="shared" si="35"/>
        <v>176</v>
      </c>
      <c r="B233" s="118" t="s">
        <v>13</v>
      </c>
      <c r="C233" s="262">
        <v>2015</v>
      </c>
      <c r="D233" s="261">
        <v>200000</v>
      </c>
      <c r="E233" s="88">
        <v>15000</v>
      </c>
      <c r="F233" s="88">
        <f t="shared" si="36"/>
        <v>215000</v>
      </c>
      <c r="G233" s="261">
        <v>200000</v>
      </c>
      <c r="H233" s="261">
        <v>0</v>
      </c>
      <c r="I233" s="88">
        <v>15000</v>
      </c>
      <c r="J233" s="88">
        <f t="shared" si="37"/>
        <v>2.2351741790771484E-8</v>
      </c>
      <c r="K233" s="88">
        <f t="shared" si="38"/>
        <v>-10206388.679999979</v>
      </c>
    </row>
    <row r="234" spans="1:11" s="248" customFormat="1" x14ac:dyDescent="0.2">
      <c r="A234" s="65">
        <f t="shared" si="35"/>
        <v>177</v>
      </c>
      <c r="B234" s="118" t="s">
        <v>28</v>
      </c>
      <c r="C234" s="262">
        <v>2015</v>
      </c>
      <c r="D234" s="261">
        <v>100000</v>
      </c>
      <c r="E234" s="88">
        <v>7500</v>
      </c>
      <c r="F234" s="88">
        <f t="shared" si="36"/>
        <v>107500</v>
      </c>
      <c r="G234" s="261">
        <v>100000</v>
      </c>
      <c r="H234" s="261">
        <v>0</v>
      </c>
      <c r="I234" s="88">
        <v>7500</v>
      </c>
      <c r="J234" s="88">
        <f t="shared" si="37"/>
        <v>2.2351741790771484E-8</v>
      </c>
      <c r="K234" s="88">
        <f t="shared" si="38"/>
        <v>-10206388.679999979</v>
      </c>
    </row>
    <row r="235" spans="1:11" s="248" customFormat="1" x14ac:dyDescent="0.2">
      <c r="A235" s="65">
        <f t="shared" si="35"/>
        <v>178</v>
      </c>
      <c r="B235" s="130" t="s">
        <v>14</v>
      </c>
      <c r="C235" s="262">
        <v>2015</v>
      </c>
      <c r="D235" s="261">
        <v>100000</v>
      </c>
      <c r="E235" s="88">
        <v>7500</v>
      </c>
      <c r="F235" s="88">
        <f t="shared" si="36"/>
        <v>107500</v>
      </c>
      <c r="G235" s="261">
        <v>100000</v>
      </c>
      <c r="H235" s="261">
        <v>0</v>
      </c>
      <c r="I235" s="88">
        <v>7500</v>
      </c>
      <c r="J235" s="88">
        <f t="shared" si="37"/>
        <v>2.2351741790771484E-8</v>
      </c>
      <c r="K235" s="88">
        <f t="shared" si="38"/>
        <v>-10206388.679999979</v>
      </c>
    </row>
    <row r="236" spans="1:11" s="248" customFormat="1" x14ac:dyDescent="0.2">
      <c r="A236" s="65">
        <f t="shared" si="35"/>
        <v>179</v>
      </c>
      <c r="B236" s="118" t="s">
        <v>15</v>
      </c>
      <c r="C236" s="262">
        <v>2015</v>
      </c>
      <c r="D236" s="261">
        <v>80000</v>
      </c>
      <c r="E236" s="88">
        <v>6000</v>
      </c>
      <c r="F236" s="88">
        <f t="shared" si="36"/>
        <v>86000</v>
      </c>
      <c r="G236" s="261">
        <v>80000</v>
      </c>
      <c r="H236" s="261">
        <v>0</v>
      </c>
      <c r="I236" s="88">
        <v>6000</v>
      </c>
      <c r="J236" s="88">
        <f t="shared" si="37"/>
        <v>2.2351741790771484E-8</v>
      </c>
      <c r="K236" s="88">
        <f t="shared" si="38"/>
        <v>-10206388.679999979</v>
      </c>
    </row>
    <row r="237" spans="1:11" s="248" customFormat="1" x14ac:dyDescent="0.2">
      <c r="A237" s="65">
        <f t="shared" si="35"/>
        <v>180</v>
      </c>
      <c r="B237" s="118" t="s">
        <v>16</v>
      </c>
      <c r="C237" s="262">
        <v>2015</v>
      </c>
      <c r="D237" s="261">
        <v>50000</v>
      </c>
      <c r="E237" s="88">
        <v>3750</v>
      </c>
      <c r="F237" s="88">
        <f t="shared" si="36"/>
        <v>53750</v>
      </c>
      <c r="G237" s="261">
        <v>50000</v>
      </c>
      <c r="H237" s="261">
        <v>0</v>
      </c>
      <c r="I237" s="88">
        <v>3750</v>
      </c>
      <c r="J237" s="88">
        <f t="shared" si="37"/>
        <v>2.2351741790771484E-8</v>
      </c>
      <c r="K237" s="88">
        <f t="shared" si="38"/>
        <v>-10206388.679999979</v>
      </c>
    </row>
    <row r="238" spans="1:11" s="248" customFormat="1" x14ac:dyDescent="0.2">
      <c r="A238" s="65">
        <f t="shared" si="35"/>
        <v>181</v>
      </c>
      <c r="B238" s="118" t="s">
        <v>18</v>
      </c>
      <c r="C238" s="262">
        <v>2015</v>
      </c>
      <c r="D238" s="261">
        <v>0</v>
      </c>
      <c r="E238" s="88">
        <v>0</v>
      </c>
      <c r="F238" s="88">
        <f t="shared" si="36"/>
        <v>0</v>
      </c>
      <c r="G238" s="261">
        <v>0</v>
      </c>
      <c r="H238" s="261">
        <v>0</v>
      </c>
      <c r="I238" s="88">
        <v>0</v>
      </c>
      <c r="J238" s="88">
        <f t="shared" si="37"/>
        <v>2.2351741790771484E-8</v>
      </c>
      <c r="K238" s="88">
        <f t="shared" si="38"/>
        <v>-10206388.679999979</v>
      </c>
    </row>
    <row r="239" spans="1:11" s="248" customFormat="1" x14ac:dyDescent="0.2">
      <c r="A239" s="65">
        <f t="shared" si="35"/>
        <v>182</v>
      </c>
      <c r="B239" s="118" t="s">
        <v>17</v>
      </c>
      <c r="C239" s="262">
        <v>2015</v>
      </c>
      <c r="D239" s="261">
        <v>0</v>
      </c>
      <c r="E239" s="88">
        <v>0</v>
      </c>
      <c r="F239" s="88">
        <f t="shared" si="36"/>
        <v>0</v>
      </c>
      <c r="G239" s="261">
        <v>0</v>
      </c>
      <c r="H239" s="261">
        <v>0</v>
      </c>
      <c r="I239" s="88">
        <v>0</v>
      </c>
      <c r="J239" s="88">
        <f t="shared" si="37"/>
        <v>2.2351741790771484E-8</v>
      </c>
      <c r="K239" s="88">
        <f t="shared" si="38"/>
        <v>-10206388.679999979</v>
      </c>
    </row>
    <row r="240" spans="1:11" s="248" customFormat="1" x14ac:dyDescent="0.2">
      <c r="A240" s="65">
        <f t="shared" si="35"/>
        <v>183</v>
      </c>
      <c r="B240" s="118" t="s">
        <v>9</v>
      </c>
      <c r="C240" s="262">
        <v>2015</v>
      </c>
      <c r="D240" s="261">
        <v>0</v>
      </c>
      <c r="E240" s="88">
        <v>0</v>
      </c>
      <c r="F240" s="88">
        <f t="shared" si="36"/>
        <v>0</v>
      </c>
      <c r="G240" s="261">
        <v>0</v>
      </c>
      <c r="H240" s="261">
        <v>0</v>
      </c>
      <c r="I240" s="88">
        <v>0</v>
      </c>
      <c r="J240" s="88">
        <f t="shared" si="37"/>
        <v>2.2351741790771484E-8</v>
      </c>
      <c r="K240" s="260">
        <f t="shared" si="38"/>
        <v>-10206388.679999979</v>
      </c>
    </row>
    <row r="241" spans="1:11" s="248" customFormat="1" x14ac:dyDescent="0.2">
      <c r="A241" s="65">
        <f t="shared" si="35"/>
        <v>184</v>
      </c>
      <c r="B241"/>
      <c r="C241" s="259" t="s">
        <v>343</v>
      </c>
      <c r="D241"/>
      <c r="E241"/>
      <c r="F241"/>
      <c r="G241"/>
      <c r="H241"/>
      <c r="I241"/>
      <c r="J241"/>
      <c r="K241" s="258">
        <f>AVERAGE(K228:K240)</f>
        <v>-10206388.679999979</v>
      </c>
    </row>
    <row r="242" spans="1:11" s="248" customFormat="1" x14ac:dyDescent="0.2">
      <c r="A242" s="65"/>
      <c r="B242"/>
      <c r="C242" s="259"/>
      <c r="D242"/>
      <c r="E242"/>
      <c r="F242"/>
      <c r="G242"/>
      <c r="H242"/>
      <c r="I242"/>
      <c r="J242"/>
      <c r="K242" s="258"/>
    </row>
    <row r="243" spans="1:11" s="248" customFormat="1" x14ac:dyDescent="0.2">
      <c r="B243" s="269" t="s">
        <v>362</v>
      </c>
      <c r="D243" s="548" t="s">
        <v>361</v>
      </c>
      <c r="E243" s="548"/>
    </row>
    <row r="244" spans="1:11" s="248" customFormat="1" x14ac:dyDescent="0.2">
      <c r="A244" s="263"/>
      <c r="B244" s="263"/>
      <c r="C244" s="263"/>
      <c r="D244" s="263" t="s">
        <v>167</v>
      </c>
      <c r="E244" s="263" t="s">
        <v>168</v>
      </c>
      <c r="F244" s="263" t="s">
        <v>184</v>
      </c>
      <c r="G244" s="263" t="s">
        <v>185</v>
      </c>
      <c r="H244" s="263" t="s">
        <v>186</v>
      </c>
      <c r="I244" s="263" t="s">
        <v>187</v>
      </c>
      <c r="J244" s="263" t="s">
        <v>188</v>
      </c>
      <c r="K244" s="263" t="s">
        <v>350</v>
      </c>
    </row>
    <row r="245" spans="1:11" s="248" customFormat="1" ht="38.25" x14ac:dyDescent="0.2">
      <c r="D245" s="265"/>
      <c r="E245" s="264" t="s">
        <v>349</v>
      </c>
      <c r="F245" s="252" t="s">
        <v>348</v>
      </c>
      <c r="G245" s="266"/>
      <c r="H245" s="265"/>
      <c r="I245" s="264" t="s">
        <v>347</v>
      </c>
      <c r="J245" s="264" t="s">
        <v>346</v>
      </c>
      <c r="K245" s="264" t="s">
        <v>345</v>
      </c>
    </row>
    <row r="246" spans="1:11" s="248" customFormat="1" x14ac:dyDescent="0.2">
      <c r="D246" s="265"/>
      <c r="E246" s="265"/>
      <c r="F246" s="265"/>
      <c r="G246" s="60" t="s">
        <v>360</v>
      </c>
      <c r="H246" s="265"/>
      <c r="I246" s="265"/>
    </row>
    <row r="247" spans="1:11" s="248" customFormat="1" x14ac:dyDescent="0.2">
      <c r="A247" s="255"/>
      <c r="B247" s="255"/>
      <c r="C247" s="255"/>
      <c r="D247" s="255" t="str">
        <f>D$52</f>
        <v>Forecast</v>
      </c>
      <c r="E247" s="255" t="str">
        <f t="shared" ref="E247:J247" si="39">E$52</f>
        <v>Corporate</v>
      </c>
      <c r="F247" s="255" t="str">
        <f t="shared" si="39"/>
        <v xml:space="preserve">Total </v>
      </c>
      <c r="G247" s="255" t="s">
        <v>169</v>
      </c>
      <c r="H247" s="255" t="str">
        <f t="shared" si="39"/>
        <v>Prior Period</v>
      </c>
      <c r="I247" s="255" t="str">
        <f t="shared" si="39"/>
        <v>Over Heads</v>
      </c>
      <c r="J247" s="255" t="str">
        <f t="shared" si="39"/>
        <v>Forecast</v>
      </c>
      <c r="K247" s="60" t="str">
        <f>K$52</f>
        <v>Forecast Period</v>
      </c>
    </row>
    <row r="248" spans="1:11" s="248" customFormat="1" x14ac:dyDescent="0.2">
      <c r="A248" s="102" t="s">
        <v>170</v>
      </c>
      <c r="B248" s="128" t="s">
        <v>19</v>
      </c>
      <c r="C248" s="128" t="s">
        <v>20</v>
      </c>
      <c r="D248" s="263" t="str">
        <f>D$53</f>
        <v>Expenditures</v>
      </c>
      <c r="E248" s="263" t="str">
        <f t="shared" ref="E248:J248" si="40">E$53</f>
        <v>Overheads</v>
      </c>
      <c r="F248" s="263" t="str">
        <f t="shared" si="40"/>
        <v>CWIP Exp</v>
      </c>
      <c r="G248" s="263" t="s">
        <v>359</v>
      </c>
      <c r="H248" s="263" t="str">
        <f t="shared" si="40"/>
        <v>CWIP Closed</v>
      </c>
      <c r="I248" s="263" t="str">
        <f t="shared" si="40"/>
        <v>Closed to PIS</v>
      </c>
      <c r="J248" s="263" t="str">
        <f t="shared" si="40"/>
        <v>Period CWIP</v>
      </c>
      <c r="K248" s="263" t="str">
        <f>K$53</f>
        <v>Incremental CWIP</v>
      </c>
    </row>
    <row r="249" spans="1:11" s="248" customFormat="1" x14ac:dyDescent="0.2">
      <c r="A249" s="65">
        <f>A241+1</f>
        <v>185</v>
      </c>
      <c r="B249" s="130" t="s">
        <v>9</v>
      </c>
      <c r="C249" s="262">
        <v>2013</v>
      </c>
      <c r="D249" s="252" t="s">
        <v>344</v>
      </c>
      <c r="E249" s="252" t="s">
        <v>344</v>
      </c>
      <c r="F249" s="252" t="s">
        <v>344</v>
      </c>
      <c r="G249" s="252" t="s">
        <v>344</v>
      </c>
      <c r="H249" s="252" t="s">
        <v>344</v>
      </c>
      <c r="I249" s="252" t="s">
        <v>344</v>
      </c>
      <c r="J249" s="88">
        <f>D45</f>
        <v>21945221.93</v>
      </c>
      <c r="K249" s="252" t="s">
        <v>344</v>
      </c>
    </row>
    <row r="250" spans="1:11" s="248" customFormat="1" x14ac:dyDescent="0.2">
      <c r="A250" s="65">
        <f>A249+1</f>
        <v>186</v>
      </c>
      <c r="B250" s="130" t="s">
        <v>10</v>
      </c>
      <c r="C250" s="262">
        <v>2014</v>
      </c>
      <c r="D250" s="261">
        <v>1268000</v>
      </c>
      <c r="E250" s="88">
        <v>95100</v>
      </c>
      <c r="F250" s="88">
        <f>E250+D250</f>
        <v>1363100</v>
      </c>
      <c r="G250" s="261">
        <v>0</v>
      </c>
      <c r="H250" s="261">
        <v>0</v>
      </c>
      <c r="I250" s="88">
        <v>0</v>
      </c>
      <c r="J250" s="88">
        <f>J249+F250-G250-I250</f>
        <v>23308321.93</v>
      </c>
      <c r="K250" s="88">
        <f>J250-$J$249</f>
        <v>1363100</v>
      </c>
    </row>
    <row r="251" spans="1:11" s="248" customFormat="1" x14ac:dyDescent="0.2">
      <c r="A251" s="65">
        <f t="shared" ref="A251:A274" si="41">A250+1</f>
        <v>187</v>
      </c>
      <c r="B251" s="118" t="s">
        <v>11</v>
      </c>
      <c r="C251" s="262">
        <v>2014</v>
      </c>
      <c r="D251" s="261">
        <v>788000</v>
      </c>
      <c r="E251" s="88">
        <v>59100</v>
      </c>
      <c r="F251" s="88">
        <f t="shared" ref="F251:F273" si="42">E251+D251</f>
        <v>847100</v>
      </c>
      <c r="G251" s="261">
        <v>0</v>
      </c>
      <c r="H251" s="261">
        <v>0</v>
      </c>
      <c r="I251" s="88">
        <v>0</v>
      </c>
      <c r="J251" s="88">
        <f t="shared" ref="J251:J273" si="43">J250+F251-G251-I251</f>
        <v>24155421.93</v>
      </c>
      <c r="K251" s="88">
        <f t="shared" ref="K251:K273" si="44">J251-$J$249</f>
        <v>2210200</v>
      </c>
    </row>
    <row r="252" spans="1:11" s="248" customFormat="1" x14ac:dyDescent="0.2">
      <c r="A252" s="65">
        <f t="shared" si="41"/>
        <v>188</v>
      </c>
      <c r="B252" s="118" t="s">
        <v>21</v>
      </c>
      <c r="C252" s="262">
        <v>2014</v>
      </c>
      <c r="D252" s="261">
        <v>7020000</v>
      </c>
      <c r="E252" s="88">
        <v>526500</v>
      </c>
      <c r="F252" s="88">
        <f t="shared" si="42"/>
        <v>7546500</v>
      </c>
      <c r="G252" s="261">
        <v>0</v>
      </c>
      <c r="H252" s="261">
        <v>0</v>
      </c>
      <c r="I252" s="88">
        <v>0</v>
      </c>
      <c r="J252" s="88">
        <f t="shared" si="43"/>
        <v>31701921.93</v>
      </c>
      <c r="K252" s="88">
        <f t="shared" si="44"/>
        <v>9756700</v>
      </c>
    </row>
    <row r="253" spans="1:11" s="248" customFormat="1" x14ac:dyDescent="0.2">
      <c r="A253" s="65">
        <f t="shared" si="41"/>
        <v>189</v>
      </c>
      <c r="B253" s="130" t="s">
        <v>12</v>
      </c>
      <c r="C253" s="262">
        <v>2014</v>
      </c>
      <c r="D253" s="261">
        <v>1025000</v>
      </c>
      <c r="E253" s="88">
        <v>76875</v>
      </c>
      <c r="F253" s="88">
        <f t="shared" si="42"/>
        <v>1101875</v>
      </c>
      <c r="G253" s="261">
        <v>0</v>
      </c>
      <c r="H253" s="261">
        <v>0</v>
      </c>
      <c r="I253" s="88">
        <v>0</v>
      </c>
      <c r="J253" s="88">
        <f t="shared" si="43"/>
        <v>32803796.93</v>
      </c>
      <c r="K253" s="88">
        <f t="shared" si="44"/>
        <v>10858575</v>
      </c>
    </row>
    <row r="254" spans="1:11" s="248" customFormat="1" x14ac:dyDescent="0.2">
      <c r="A254" s="65">
        <f t="shared" si="41"/>
        <v>190</v>
      </c>
      <c r="B254" s="118" t="s">
        <v>13</v>
      </c>
      <c r="C254" s="262">
        <v>2014</v>
      </c>
      <c r="D254" s="261">
        <v>1000000</v>
      </c>
      <c r="E254" s="88">
        <v>75000</v>
      </c>
      <c r="F254" s="88">
        <f t="shared" si="42"/>
        <v>1075000</v>
      </c>
      <c r="G254" s="261">
        <v>0</v>
      </c>
      <c r="H254" s="261">
        <v>0</v>
      </c>
      <c r="I254" s="88">
        <v>0</v>
      </c>
      <c r="J254" s="88">
        <f t="shared" si="43"/>
        <v>33878796.93</v>
      </c>
      <c r="K254" s="88">
        <f t="shared" si="44"/>
        <v>11933575</v>
      </c>
    </row>
    <row r="255" spans="1:11" s="248" customFormat="1" x14ac:dyDescent="0.2">
      <c r="A255" s="65">
        <f t="shared" si="41"/>
        <v>191</v>
      </c>
      <c r="B255" s="118" t="s">
        <v>28</v>
      </c>
      <c r="C255" s="262">
        <v>2014</v>
      </c>
      <c r="D255" s="261">
        <v>1550000</v>
      </c>
      <c r="E255" s="88">
        <v>116250</v>
      </c>
      <c r="F255" s="88">
        <f t="shared" si="42"/>
        <v>1666250</v>
      </c>
      <c r="G255" s="261">
        <v>0</v>
      </c>
      <c r="H255" s="261">
        <v>0</v>
      </c>
      <c r="I255" s="88">
        <v>0</v>
      </c>
      <c r="J255" s="88">
        <f t="shared" si="43"/>
        <v>35545046.93</v>
      </c>
      <c r="K255" s="88">
        <f t="shared" si="44"/>
        <v>13599825</v>
      </c>
    </row>
    <row r="256" spans="1:11" s="248" customFormat="1" x14ac:dyDescent="0.2">
      <c r="A256" s="65">
        <f t="shared" si="41"/>
        <v>192</v>
      </c>
      <c r="B256" s="130" t="s">
        <v>14</v>
      </c>
      <c r="C256" s="262">
        <v>2014</v>
      </c>
      <c r="D256" s="261">
        <v>1625000</v>
      </c>
      <c r="E256" s="88">
        <v>121875</v>
      </c>
      <c r="F256" s="88">
        <f t="shared" si="42"/>
        <v>1746875</v>
      </c>
      <c r="G256" s="261">
        <v>0</v>
      </c>
      <c r="H256" s="261">
        <v>0</v>
      </c>
      <c r="I256" s="88">
        <v>0</v>
      </c>
      <c r="J256" s="88">
        <f t="shared" si="43"/>
        <v>37291921.93</v>
      </c>
      <c r="K256" s="88">
        <f t="shared" si="44"/>
        <v>15346700</v>
      </c>
    </row>
    <row r="257" spans="1:11" s="248" customFormat="1" x14ac:dyDescent="0.2">
      <c r="A257" s="65">
        <f t="shared" si="41"/>
        <v>193</v>
      </c>
      <c r="B257" s="118" t="s">
        <v>15</v>
      </c>
      <c r="C257" s="262">
        <v>2014</v>
      </c>
      <c r="D257" s="261">
        <v>1200000</v>
      </c>
      <c r="E257" s="88">
        <v>90000</v>
      </c>
      <c r="F257" s="88">
        <f t="shared" si="42"/>
        <v>1290000</v>
      </c>
      <c r="G257" s="261">
        <v>0</v>
      </c>
      <c r="H257" s="261">
        <v>0</v>
      </c>
      <c r="I257" s="88">
        <v>0</v>
      </c>
      <c r="J257" s="88">
        <f t="shared" si="43"/>
        <v>38581921.93</v>
      </c>
      <c r="K257" s="88">
        <f t="shared" si="44"/>
        <v>16636700</v>
      </c>
    </row>
    <row r="258" spans="1:11" s="248" customFormat="1" x14ac:dyDescent="0.2">
      <c r="A258" s="65">
        <f t="shared" si="41"/>
        <v>194</v>
      </c>
      <c r="B258" s="118" t="s">
        <v>16</v>
      </c>
      <c r="C258" s="262">
        <v>2014</v>
      </c>
      <c r="D258" s="261">
        <v>1100000</v>
      </c>
      <c r="E258" s="88">
        <v>82500</v>
      </c>
      <c r="F258" s="88">
        <f t="shared" si="42"/>
        <v>1182500</v>
      </c>
      <c r="G258" s="261">
        <v>0</v>
      </c>
      <c r="H258" s="261">
        <v>0</v>
      </c>
      <c r="I258" s="88">
        <v>0</v>
      </c>
      <c r="J258" s="88">
        <f t="shared" si="43"/>
        <v>39764421.93</v>
      </c>
      <c r="K258" s="88">
        <f t="shared" si="44"/>
        <v>17819200</v>
      </c>
    </row>
    <row r="259" spans="1:11" s="248" customFormat="1" x14ac:dyDescent="0.2">
      <c r="A259" s="65">
        <f t="shared" si="41"/>
        <v>195</v>
      </c>
      <c r="B259" s="130" t="s">
        <v>18</v>
      </c>
      <c r="C259" s="262">
        <v>2014</v>
      </c>
      <c r="D259" s="261">
        <v>950000</v>
      </c>
      <c r="E259" s="88">
        <v>71250</v>
      </c>
      <c r="F259" s="88">
        <f t="shared" si="42"/>
        <v>1021250</v>
      </c>
      <c r="G259" s="261">
        <v>0</v>
      </c>
      <c r="H259" s="261">
        <v>0</v>
      </c>
      <c r="I259" s="88">
        <v>0</v>
      </c>
      <c r="J259" s="88">
        <f t="shared" si="43"/>
        <v>40785671.93</v>
      </c>
      <c r="K259" s="88">
        <f t="shared" si="44"/>
        <v>18840450</v>
      </c>
    </row>
    <row r="260" spans="1:11" s="248" customFormat="1" x14ac:dyDescent="0.2">
      <c r="A260" s="65">
        <f t="shared" si="41"/>
        <v>196</v>
      </c>
      <c r="B260" s="130" t="s">
        <v>17</v>
      </c>
      <c r="C260" s="262">
        <v>2014</v>
      </c>
      <c r="D260" s="261">
        <v>1000000</v>
      </c>
      <c r="E260" s="88">
        <v>75000</v>
      </c>
      <c r="F260" s="88">
        <f t="shared" si="42"/>
        <v>1075000</v>
      </c>
      <c r="G260" s="261">
        <v>0</v>
      </c>
      <c r="H260" s="261">
        <v>0</v>
      </c>
      <c r="I260" s="88">
        <v>0</v>
      </c>
      <c r="J260" s="88">
        <f t="shared" si="43"/>
        <v>41860671.93</v>
      </c>
      <c r="K260" s="88">
        <f t="shared" si="44"/>
        <v>19915450</v>
      </c>
    </row>
    <row r="261" spans="1:11" s="248" customFormat="1" x14ac:dyDescent="0.2">
      <c r="A261" s="65">
        <f t="shared" si="41"/>
        <v>197</v>
      </c>
      <c r="B261" s="130" t="s">
        <v>9</v>
      </c>
      <c r="C261" s="262">
        <v>2014</v>
      </c>
      <c r="D261" s="261">
        <v>1174000</v>
      </c>
      <c r="E261" s="88">
        <v>88050</v>
      </c>
      <c r="F261" s="88">
        <f t="shared" si="42"/>
        <v>1262050</v>
      </c>
      <c r="G261" s="261">
        <v>41145221.93000003</v>
      </c>
      <c r="H261" s="261">
        <v>21945221.930000026</v>
      </c>
      <c r="I261" s="88">
        <v>1440000.0000000002</v>
      </c>
      <c r="J261" s="88">
        <f t="shared" si="43"/>
        <v>537499.99999996996</v>
      </c>
      <c r="K261" s="88">
        <f t="shared" si="44"/>
        <v>-21407721.93000003</v>
      </c>
    </row>
    <row r="262" spans="1:11" s="248" customFormat="1" x14ac:dyDescent="0.2">
      <c r="A262" s="65">
        <f t="shared" si="41"/>
        <v>198</v>
      </c>
      <c r="B262" s="130" t="s">
        <v>10</v>
      </c>
      <c r="C262" s="262">
        <v>2015</v>
      </c>
      <c r="D262" s="261">
        <v>100000</v>
      </c>
      <c r="E262" s="88">
        <v>7500</v>
      </c>
      <c r="F262" s="88">
        <f t="shared" si="42"/>
        <v>107500</v>
      </c>
      <c r="G262" s="261">
        <v>0</v>
      </c>
      <c r="H262" s="261">
        <v>0</v>
      </c>
      <c r="I262" s="88">
        <v>0</v>
      </c>
      <c r="J262" s="88">
        <f t="shared" si="43"/>
        <v>644999.99999996996</v>
      </c>
      <c r="K262" s="88">
        <f t="shared" si="44"/>
        <v>-21300221.93000003</v>
      </c>
    </row>
    <row r="263" spans="1:11" s="248" customFormat="1" x14ac:dyDescent="0.2">
      <c r="A263" s="65">
        <f t="shared" si="41"/>
        <v>199</v>
      </c>
      <c r="B263" s="118" t="s">
        <v>11</v>
      </c>
      <c r="C263" s="262">
        <v>2015</v>
      </c>
      <c r="D263" s="261">
        <v>100000</v>
      </c>
      <c r="E263" s="88">
        <v>7500</v>
      </c>
      <c r="F263" s="88">
        <f t="shared" si="42"/>
        <v>107500</v>
      </c>
      <c r="G263" s="261">
        <v>0</v>
      </c>
      <c r="H263" s="261">
        <v>0</v>
      </c>
      <c r="I263" s="88">
        <v>0</v>
      </c>
      <c r="J263" s="88">
        <f t="shared" si="43"/>
        <v>752499.99999996996</v>
      </c>
      <c r="K263" s="88">
        <f t="shared" si="44"/>
        <v>-21192721.93000003</v>
      </c>
    </row>
    <row r="264" spans="1:11" s="248" customFormat="1" x14ac:dyDescent="0.2">
      <c r="A264" s="65">
        <f t="shared" si="41"/>
        <v>200</v>
      </c>
      <c r="B264" s="118" t="s">
        <v>21</v>
      </c>
      <c r="C264" s="262">
        <v>2015</v>
      </c>
      <c r="D264" s="261">
        <v>150000</v>
      </c>
      <c r="E264" s="88">
        <v>11250</v>
      </c>
      <c r="F264" s="88">
        <f t="shared" si="42"/>
        <v>161250</v>
      </c>
      <c r="G264" s="261">
        <v>0</v>
      </c>
      <c r="H264" s="261">
        <v>0</v>
      </c>
      <c r="I264" s="88">
        <v>0</v>
      </c>
      <c r="J264" s="88">
        <f t="shared" si="43"/>
        <v>913749.99999996996</v>
      </c>
      <c r="K264" s="88">
        <f t="shared" si="44"/>
        <v>-21031471.93000003</v>
      </c>
    </row>
    <row r="265" spans="1:11" s="248" customFormat="1" x14ac:dyDescent="0.2">
      <c r="A265" s="65">
        <f t="shared" si="41"/>
        <v>201</v>
      </c>
      <c r="B265" s="130" t="s">
        <v>12</v>
      </c>
      <c r="C265" s="262">
        <v>2015</v>
      </c>
      <c r="D265" s="261">
        <v>150000</v>
      </c>
      <c r="E265" s="88">
        <v>11250</v>
      </c>
      <c r="F265" s="88">
        <f t="shared" si="42"/>
        <v>161250</v>
      </c>
      <c r="G265" s="261">
        <v>0</v>
      </c>
      <c r="H265" s="261">
        <v>0</v>
      </c>
      <c r="I265" s="88">
        <v>0</v>
      </c>
      <c r="J265" s="88">
        <f t="shared" si="43"/>
        <v>1074999.99999997</v>
      </c>
      <c r="K265" s="88">
        <f t="shared" si="44"/>
        <v>-20870221.93000003</v>
      </c>
    </row>
    <row r="266" spans="1:11" s="248" customFormat="1" x14ac:dyDescent="0.2">
      <c r="A266" s="65">
        <f t="shared" si="41"/>
        <v>202</v>
      </c>
      <c r="B266" s="118" t="s">
        <v>13</v>
      </c>
      <c r="C266" s="262">
        <v>2015</v>
      </c>
      <c r="D266" s="261">
        <v>150000</v>
      </c>
      <c r="E266" s="88">
        <v>11250</v>
      </c>
      <c r="F266" s="88">
        <f t="shared" si="42"/>
        <v>161250</v>
      </c>
      <c r="G266" s="261">
        <v>0</v>
      </c>
      <c r="H266" s="261">
        <v>0</v>
      </c>
      <c r="I266" s="88">
        <v>0</v>
      </c>
      <c r="J266" s="88">
        <f t="shared" si="43"/>
        <v>1236249.99999997</v>
      </c>
      <c r="K266" s="88">
        <f t="shared" si="44"/>
        <v>-20708971.93000003</v>
      </c>
    </row>
    <row r="267" spans="1:11" s="248" customFormat="1" x14ac:dyDescent="0.2">
      <c r="A267" s="65">
        <f t="shared" si="41"/>
        <v>203</v>
      </c>
      <c r="B267" s="118" t="s">
        <v>28</v>
      </c>
      <c r="C267" s="262">
        <v>2015</v>
      </c>
      <c r="D267" s="261">
        <v>150000</v>
      </c>
      <c r="E267" s="88">
        <v>11250</v>
      </c>
      <c r="F267" s="88">
        <f t="shared" si="42"/>
        <v>161250</v>
      </c>
      <c r="G267" s="261">
        <v>0</v>
      </c>
      <c r="H267" s="261">
        <v>0</v>
      </c>
      <c r="I267" s="88">
        <v>0</v>
      </c>
      <c r="J267" s="88">
        <f t="shared" si="43"/>
        <v>1397499.99999997</v>
      </c>
      <c r="K267" s="88">
        <f t="shared" si="44"/>
        <v>-20547721.93000003</v>
      </c>
    </row>
    <row r="268" spans="1:11" s="248" customFormat="1" x14ac:dyDescent="0.2">
      <c r="A268" s="65">
        <f t="shared" si="41"/>
        <v>204</v>
      </c>
      <c r="B268" s="130" t="s">
        <v>14</v>
      </c>
      <c r="C268" s="262">
        <v>2015</v>
      </c>
      <c r="D268" s="261">
        <v>200000</v>
      </c>
      <c r="E268" s="88">
        <v>15000</v>
      </c>
      <c r="F268" s="88">
        <f t="shared" si="42"/>
        <v>215000</v>
      </c>
      <c r="G268" s="261">
        <v>0</v>
      </c>
      <c r="H268" s="261">
        <v>0</v>
      </c>
      <c r="I268" s="88">
        <v>0</v>
      </c>
      <c r="J268" s="88">
        <f t="shared" si="43"/>
        <v>1612499.99999997</v>
      </c>
      <c r="K268" s="88">
        <f t="shared" si="44"/>
        <v>-20332721.93000003</v>
      </c>
    </row>
    <row r="269" spans="1:11" s="248" customFormat="1" x14ac:dyDescent="0.2">
      <c r="A269" s="65">
        <f t="shared" si="41"/>
        <v>205</v>
      </c>
      <c r="B269" s="118" t="s">
        <v>15</v>
      </c>
      <c r="C269" s="262">
        <v>2015</v>
      </c>
      <c r="D269" s="261">
        <v>2000000</v>
      </c>
      <c r="E269" s="88">
        <v>150000</v>
      </c>
      <c r="F269" s="88">
        <f t="shared" si="42"/>
        <v>2150000</v>
      </c>
      <c r="G269" s="261">
        <v>0</v>
      </c>
      <c r="H269" s="261">
        <v>0</v>
      </c>
      <c r="I269" s="88">
        <v>0</v>
      </c>
      <c r="J269" s="88">
        <f t="shared" si="43"/>
        <v>3762499.9999999702</v>
      </c>
      <c r="K269" s="88">
        <f t="shared" si="44"/>
        <v>-18182721.93000003</v>
      </c>
    </row>
    <row r="270" spans="1:11" s="248" customFormat="1" x14ac:dyDescent="0.2">
      <c r="A270" s="65">
        <f t="shared" si="41"/>
        <v>206</v>
      </c>
      <c r="B270" s="118" t="s">
        <v>16</v>
      </c>
      <c r="C270" s="262">
        <v>2015</v>
      </c>
      <c r="D270" s="261">
        <v>1000000</v>
      </c>
      <c r="E270" s="88">
        <v>75000</v>
      </c>
      <c r="F270" s="88">
        <f t="shared" si="42"/>
        <v>1075000</v>
      </c>
      <c r="G270" s="261">
        <v>0</v>
      </c>
      <c r="H270" s="261">
        <v>0</v>
      </c>
      <c r="I270" s="88">
        <v>0</v>
      </c>
      <c r="J270" s="88">
        <f t="shared" si="43"/>
        <v>4837499.9999999702</v>
      </c>
      <c r="K270" s="88">
        <f t="shared" si="44"/>
        <v>-17107721.93000003</v>
      </c>
    </row>
    <row r="271" spans="1:11" s="248" customFormat="1" x14ac:dyDescent="0.2">
      <c r="A271" s="65">
        <f t="shared" si="41"/>
        <v>207</v>
      </c>
      <c r="B271" s="118" t="s">
        <v>18</v>
      </c>
      <c r="C271" s="262">
        <v>2015</v>
      </c>
      <c r="D271" s="261">
        <v>1000000</v>
      </c>
      <c r="E271" s="88">
        <v>75000</v>
      </c>
      <c r="F271" s="88">
        <f t="shared" si="42"/>
        <v>1075000</v>
      </c>
      <c r="G271" s="261">
        <v>0</v>
      </c>
      <c r="H271" s="261">
        <v>0</v>
      </c>
      <c r="I271" s="88">
        <v>0</v>
      </c>
      <c r="J271" s="88">
        <f t="shared" si="43"/>
        <v>5912499.9999999702</v>
      </c>
      <c r="K271" s="88">
        <f t="shared" si="44"/>
        <v>-16032721.93000003</v>
      </c>
    </row>
    <row r="272" spans="1:11" s="248" customFormat="1" x14ac:dyDescent="0.2">
      <c r="A272" s="65">
        <f t="shared" si="41"/>
        <v>208</v>
      </c>
      <c r="B272" s="118" t="s">
        <v>17</v>
      </c>
      <c r="C272" s="262">
        <v>2015</v>
      </c>
      <c r="D272" s="261">
        <v>5000000</v>
      </c>
      <c r="E272" s="88">
        <v>375000</v>
      </c>
      <c r="F272" s="88">
        <f t="shared" si="42"/>
        <v>5375000</v>
      </c>
      <c r="G272" s="261">
        <v>0</v>
      </c>
      <c r="H272" s="261">
        <v>0</v>
      </c>
      <c r="I272" s="88">
        <v>0</v>
      </c>
      <c r="J272" s="88">
        <f t="shared" si="43"/>
        <v>11287499.99999997</v>
      </c>
      <c r="K272" s="88">
        <f t="shared" si="44"/>
        <v>-10657721.93000003</v>
      </c>
    </row>
    <row r="273" spans="1:13" s="248" customFormat="1" x14ac:dyDescent="0.2">
      <c r="A273" s="65">
        <f t="shared" si="41"/>
        <v>209</v>
      </c>
      <c r="B273" s="118" t="s">
        <v>9</v>
      </c>
      <c r="C273" s="262">
        <v>2015</v>
      </c>
      <c r="D273" s="261">
        <v>1000000</v>
      </c>
      <c r="E273" s="88">
        <v>75000</v>
      </c>
      <c r="F273" s="88">
        <f t="shared" si="42"/>
        <v>1075000</v>
      </c>
      <c r="G273" s="261">
        <v>0</v>
      </c>
      <c r="H273" s="261">
        <v>0</v>
      </c>
      <c r="I273" s="88">
        <v>0</v>
      </c>
      <c r="J273" s="88">
        <f t="shared" si="43"/>
        <v>12362499.99999997</v>
      </c>
      <c r="K273" s="260">
        <f t="shared" si="44"/>
        <v>-9582721.9300000295</v>
      </c>
    </row>
    <row r="274" spans="1:13" s="248" customFormat="1" x14ac:dyDescent="0.2">
      <c r="A274" s="65">
        <f t="shared" si="41"/>
        <v>210</v>
      </c>
      <c r="B274"/>
      <c r="C274" s="259" t="s">
        <v>343</v>
      </c>
      <c r="D274"/>
      <c r="E274"/>
      <c r="F274"/>
      <c r="G274"/>
      <c r="H274"/>
      <c r="I274"/>
      <c r="J274"/>
      <c r="K274" s="258">
        <f>AVERAGE(K261:K273)</f>
        <v>-18381183.468461573</v>
      </c>
    </row>
    <row r="275" spans="1:13" s="248" customFormat="1" ht="12.75" customHeight="1" x14ac:dyDescent="0.2">
      <c r="A275" s="65"/>
      <c r="B275"/>
      <c r="C275" s="259"/>
      <c r="D275"/>
      <c r="E275"/>
      <c r="F275"/>
      <c r="G275"/>
      <c r="H275"/>
      <c r="I275"/>
      <c r="J275"/>
      <c r="K275" s="258"/>
    </row>
    <row r="276" spans="1:13" s="248" customFormat="1" x14ac:dyDescent="0.2">
      <c r="B276" s="269" t="s">
        <v>358</v>
      </c>
      <c r="D276" s="548" t="s">
        <v>357</v>
      </c>
      <c r="E276" s="548"/>
    </row>
    <row r="277" spans="1:13" s="248" customFormat="1" x14ac:dyDescent="0.2">
      <c r="D277" s="265"/>
      <c r="E277" s="264"/>
      <c r="F277" s="252"/>
      <c r="G277" s="255" t="str">
        <f>G51</f>
        <v>Unloaded</v>
      </c>
      <c r="H277" s="265"/>
      <c r="I277" s="264"/>
      <c r="J277" s="264"/>
      <c r="K277" s="264"/>
    </row>
    <row r="278" spans="1:13" s="248" customFormat="1" x14ac:dyDescent="0.2">
      <c r="A278" s="255"/>
      <c r="B278" s="255"/>
      <c r="C278" s="255"/>
      <c r="D278" s="255" t="str">
        <f>D$52</f>
        <v>Forecast</v>
      </c>
      <c r="E278" s="255" t="str">
        <f t="shared" ref="E278:J278" si="45">E$52</f>
        <v>Corporate</v>
      </c>
      <c r="F278" s="255" t="str">
        <f t="shared" si="45"/>
        <v xml:space="preserve">Total </v>
      </c>
      <c r="G278" s="255" t="str">
        <f>G52</f>
        <v>Total</v>
      </c>
      <c r="H278" s="255" t="str">
        <f t="shared" si="45"/>
        <v>Prior Period</v>
      </c>
      <c r="I278" s="255" t="str">
        <f t="shared" si="45"/>
        <v>Over Heads</v>
      </c>
      <c r="J278" s="255" t="str">
        <f t="shared" si="45"/>
        <v>Forecast</v>
      </c>
      <c r="K278" s="60" t="str">
        <f>K$52</f>
        <v>Forecast Period</v>
      </c>
    </row>
    <row r="279" spans="1:13" s="248" customFormat="1" x14ac:dyDescent="0.2">
      <c r="A279" s="102" t="s">
        <v>170</v>
      </c>
      <c r="B279" s="128" t="s">
        <v>19</v>
      </c>
      <c r="C279" s="128" t="s">
        <v>20</v>
      </c>
      <c r="D279" s="263" t="str">
        <f>D$53</f>
        <v>Expenditures</v>
      </c>
      <c r="E279" s="263" t="str">
        <f t="shared" ref="E279:J279" si="46">E$53</f>
        <v>Overheads</v>
      </c>
      <c r="F279" s="263" t="str">
        <f t="shared" si="46"/>
        <v>CWIP Exp</v>
      </c>
      <c r="G279" s="263" t="str">
        <f>G53</f>
        <v>Plant Adds</v>
      </c>
      <c r="H279" s="263" t="str">
        <f t="shared" si="46"/>
        <v>CWIP Closed</v>
      </c>
      <c r="I279" s="263" t="str">
        <f t="shared" si="46"/>
        <v>Closed to PIS</v>
      </c>
      <c r="J279" s="263" t="str">
        <f t="shared" si="46"/>
        <v>Period CWIP</v>
      </c>
      <c r="K279" s="263" t="str">
        <f>K$53</f>
        <v>Incremental CWIP</v>
      </c>
    </row>
    <row r="280" spans="1:13" s="248" customFormat="1" x14ac:dyDescent="0.2">
      <c r="A280" s="65">
        <f>A274+1</f>
        <v>211</v>
      </c>
      <c r="B280" s="130" t="s">
        <v>9</v>
      </c>
      <c r="C280" s="262">
        <v>2013</v>
      </c>
      <c r="D280" s="252" t="s">
        <v>344</v>
      </c>
      <c r="E280" s="252" t="s">
        <v>344</v>
      </c>
      <c r="F280" s="252" t="s">
        <v>344</v>
      </c>
      <c r="G280" s="252" t="s">
        <v>344</v>
      </c>
      <c r="H280" s="252" t="s">
        <v>344</v>
      </c>
      <c r="I280" s="252" t="s">
        <v>344</v>
      </c>
      <c r="J280" s="88">
        <f>E45</f>
        <v>0</v>
      </c>
      <c r="K280" s="252" t="s">
        <v>344</v>
      </c>
    </row>
    <row r="281" spans="1:13" s="248" customFormat="1" x14ac:dyDescent="0.2">
      <c r="A281" s="65">
        <f>A280+1</f>
        <v>212</v>
      </c>
      <c r="B281" s="130" t="s">
        <v>10</v>
      </c>
      <c r="C281" s="262">
        <v>2014</v>
      </c>
      <c r="D281" s="261">
        <v>124000</v>
      </c>
      <c r="E281" s="88">
        <v>9300</v>
      </c>
      <c r="F281" s="88">
        <f>E281+D281</f>
        <v>133300</v>
      </c>
      <c r="G281" s="261">
        <v>124000</v>
      </c>
      <c r="H281" s="261">
        <v>0</v>
      </c>
      <c r="I281" s="88">
        <v>9300</v>
      </c>
      <c r="J281" s="88">
        <f>J280+F281-G281-I281</f>
        <v>0</v>
      </c>
      <c r="K281" s="88">
        <f>J281-$J$280</f>
        <v>0</v>
      </c>
    </row>
    <row r="282" spans="1:13" s="248" customFormat="1" x14ac:dyDescent="0.2">
      <c r="A282" s="65">
        <f t="shared" ref="A282:A305" si="47">A281+1</f>
        <v>213</v>
      </c>
      <c r="B282" s="118" t="s">
        <v>11</v>
      </c>
      <c r="C282" s="262">
        <v>2014</v>
      </c>
      <c r="D282" s="261">
        <v>3000</v>
      </c>
      <c r="E282" s="88">
        <v>225</v>
      </c>
      <c r="F282" s="88">
        <f t="shared" ref="F282:F304" si="48">E282+D282</f>
        <v>3225</v>
      </c>
      <c r="G282" s="261">
        <v>3000</v>
      </c>
      <c r="H282" s="261">
        <v>0</v>
      </c>
      <c r="I282" s="88">
        <v>225</v>
      </c>
      <c r="J282" s="88">
        <f t="shared" ref="J282:J304" si="49">J281+F282-G282-I282</f>
        <v>0</v>
      </c>
      <c r="K282" s="88">
        <f t="shared" ref="K282:K304" si="50">J282-$J$280</f>
        <v>0</v>
      </c>
    </row>
    <row r="283" spans="1:13" s="248" customFormat="1" x14ac:dyDescent="0.2">
      <c r="A283" s="65">
        <f t="shared" si="47"/>
        <v>214</v>
      </c>
      <c r="B283" s="118" t="s">
        <v>21</v>
      </c>
      <c r="C283" s="262">
        <v>2014</v>
      </c>
      <c r="D283" s="261">
        <v>30000</v>
      </c>
      <c r="E283" s="88">
        <v>2250</v>
      </c>
      <c r="F283" s="88">
        <f t="shared" si="48"/>
        <v>32250</v>
      </c>
      <c r="G283" s="261">
        <v>30000</v>
      </c>
      <c r="H283" s="261">
        <v>0</v>
      </c>
      <c r="I283" s="88">
        <v>2250</v>
      </c>
      <c r="J283" s="88">
        <f t="shared" si="49"/>
        <v>0</v>
      </c>
      <c r="K283" s="88">
        <f t="shared" si="50"/>
        <v>0</v>
      </c>
    </row>
    <row r="284" spans="1:13" s="248" customFormat="1" x14ac:dyDescent="0.2">
      <c r="A284" s="65">
        <f t="shared" si="47"/>
        <v>215</v>
      </c>
      <c r="B284" s="130" t="s">
        <v>12</v>
      </c>
      <c r="C284" s="262">
        <v>2014</v>
      </c>
      <c r="D284" s="261">
        <v>50000</v>
      </c>
      <c r="E284" s="88">
        <v>3750</v>
      </c>
      <c r="F284" s="88">
        <f t="shared" si="48"/>
        <v>53750</v>
      </c>
      <c r="G284" s="261">
        <v>30000</v>
      </c>
      <c r="H284" s="261">
        <v>0</v>
      </c>
      <c r="I284" s="88">
        <v>2250</v>
      </c>
      <c r="J284" s="88">
        <f t="shared" si="49"/>
        <v>21500</v>
      </c>
      <c r="K284" s="88">
        <f t="shared" si="50"/>
        <v>21500</v>
      </c>
    </row>
    <row r="285" spans="1:13" s="248" customFormat="1" x14ac:dyDescent="0.2">
      <c r="A285" s="65">
        <f t="shared" si="47"/>
        <v>216</v>
      </c>
      <c r="B285" s="118" t="s">
        <v>13</v>
      </c>
      <c r="C285" s="262">
        <v>2014</v>
      </c>
      <c r="D285" s="261">
        <v>90000</v>
      </c>
      <c r="E285" s="88">
        <v>6750</v>
      </c>
      <c r="F285" s="88">
        <f t="shared" si="48"/>
        <v>96750</v>
      </c>
      <c r="G285" s="261">
        <v>30000</v>
      </c>
      <c r="H285" s="261">
        <v>0</v>
      </c>
      <c r="I285" s="88">
        <v>2250</v>
      </c>
      <c r="J285" s="88">
        <f t="shared" si="49"/>
        <v>86000</v>
      </c>
      <c r="K285" s="88">
        <f t="shared" si="50"/>
        <v>86000</v>
      </c>
      <c r="L285" s="255"/>
      <c r="M285" s="255"/>
    </row>
    <row r="286" spans="1:13" s="248" customFormat="1" x14ac:dyDescent="0.2">
      <c r="A286" s="65">
        <f t="shared" si="47"/>
        <v>217</v>
      </c>
      <c r="B286" s="118" t="s">
        <v>28</v>
      </c>
      <c r="C286" s="262">
        <v>2014</v>
      </c>
      <c r="D286" s="261">
        <v>90000</v>
      </c>
      <c r="E286" s="88">
        <v>6750</v>
      </c>
      <c r="F286" s="88">
        <f t="shared" si="48"/>
        <v>96750</v>
      </c>
      <c r="G286" s="261">
        <v>30000</v>
      </c>
      <c r="H286" s="261">
        <v>0</v>
      </c>
      <c r="I286" s="88">
        <v>2250</v>
      </c>
      <c r="J286" s="88">
        <f t="shared" si="49"/>
        <v>150500</v>
      </c>
      <c r="K286" s="88">
        <f t="shared" si="50"/>
        <v>150500</v>
      </c>
      <c r="L286" s="263"/>
      <c r="M286" s="263"/>
    </row>
    <row r="287" spans="1:13" s="248" customFormat="1" x14ac:dyDescent="0.2">
      <c r="A287" s="65">
        <f t="shared" si="47"/>
        <v>218</v>
      </c>
      <c r="B287" s="130" t="s">
        <v>14</v>
      </c>
      <c r="C287" s="262">
        <v>2014</v>
      </c>
      <c r="D287" s="261">
        <v>90000</v>
      </c>
      <c r="E287" s="88">
        <v>6750</v>
      </c>
      <c r="F287" s="88">
        <f t="shared" si="48"/>
        <v>96750</v>
      </c>
      <c r="G287" s="261">
        <v>30000</v>
      </c>
      <c r="H287" s="261">
        <v>0</v>
      </c>
      <c r="I287" s="88">
        <v>2250</v>
      </c>
      <c r="J287" s="88">
        <f t="shared" si="49"/>
        <v>215000</v>
      </c>
      <c r="K287" s="88">
        <f t="shared" si="50"/>
        <v>215000</v>
      </c>
    </row>
    <row r="288" spans="1:13" s="248" customFormat="1" x14ac:dyDescent="0.2">
      <c r="A288" s="65">
        <f t="shared" si="47"/>
        <v>219</v>
      </c>
      <c r="B288" s="118" t="s">
        <v>15</v>
      </c>
      <c r="C288" s="262">
        <v>2014</v>
      </c>
      <c r="D288" s="261">
        <v>90000</v>
      </c>
      <c r="E288" s="88">
        <v>6750</v>
      </c>
      <c r="F288" s="88">
        <f t="shared" si="48"/>
        <v>96750</v>
      </c>
      <c r="G288" s="261">
        <v>30000</v>
      </c>
      <c r="H288" s="261">
        <v>0</v>
      </c>
      <c r="I288" s="88">
        <v>2250</v>
      </c>
      <c r="J288" s="88">
        <f t="shared" si="49"/>
        <v>279500</v>
      </c>
      <c r="K288" s="88">
        <f t="shared" si="50"/>
        <v>279500</v>
      </c>
    </row>
    <row r="289" spans="1:11" s="248" customFormat="1" x14ac:dyDescent="0.2">
      <c r="A289" s="65">
        <f t="shared" si="47"/>
        <v>220</v>
      </c>
      <c r="B289" s="118" t="s">
        <v>16</v>
      </c>
      <c r="C289" s="262">
        <v>2014</v>
      </c>
      <c r="D289" s="261">
        <v>90000</v>
      </c>
      <c r="E289" s="88">
        <v>6750</v>
      </c>
      <c r="F289" s="88">
        <f t="shared" si="48"/>
        <v>96750</v>
      </c>
      <c r="G289" s="261">
        <v>30000</v>
      </c>
      <c r="H289" s="261">
        <v>0</v>
      </c>
      <c r="I289" s="88">
        <v>2250</v>
      </c>
      <c r="J289" s="88">
        <f t="shared" si="49"/>
        <v>344000</v>
      </c>
      <c r="K289" s="88">
        <f t="shared" si="50"/>
        <v>344000</v>
      </c>
    </row>
    <row r="290" spans="1:11" s="248" customFormat="1" x14ac:dyDescent="0.2">
      <c r="A290" s="65">
        <f t="shared" si="47"/>
        <v>221</v>
      </c>
      <c r="B290" s="130" t="s">
        <v>18</v>
      </c>
      <c r="C290" s="262">
        <v>2014</v>
      </c>
      <c r="D290" s="261">
        <v>90000</v>
      </c>
      <c r="E290" s="88">
        <v>6750</v>
      </c>
      <c r="F290" s="88">
        <f t="shared" si="48"/>
        <v>96750</v>
      </c>
      <c r="G290" s="261">
        <v>30000</v>
      </c>
      <c r="H290" s="261">
        <v>0</v>
      </c>
      <c r="I290" s="88">
        <v>2250</v>
      </c>
      <c r="J290" s="88">
        <f t="shared" si="49"/>
        <v>408500</v>
      </c>
      <c r="K290" s="88">
        <f t="shared" si="50"/>
        <v>408500</v>
      </c>
    </row>
    <row r="291" spans="1:11" s="248" customFormat="1" x14ac:dyDescent="0.2">
      <c r="A291" s="65">
        <f t="shared" si="47"/>
        <v>222</v>
      </c>
      <c r="B291" s="130" t="s">
        <v>17</v>
      </c>
      <c r="C291" s="262">
        <v>2014</v>
      </c>
      <c r="D291" s="261">
        <v>450000</v>
      </c>
      <c r="E291" s="88">
        <v>33750</v>
      </c>
      <c r="F291" s="88">
        <f t="shared" si="48"/>
        <v>483750</v>
      </c>
      <c r="G291" s="261">
        <v>300000</v>
      </c>
      <c r="H291" s="261">
        <v>0</v>
      </c>
      <c r="I291" s="88">
        <v>22500</v>
      </c>
      <c r="J291" s="88">
        <f t="shared" si="49"/>
        <v>569750</v>
      </c>
      <c r="K291" s="88">
        <f t="shared" si="50"/>
        <v>569750</v>
      </c>
    </row>
    <row r="292" spans="1:11" s="248" customFormat="1" x14ac:dyDescent="0.2">
      <c r="A292" s="65">
        <f t="shared" si="47"/>
        <v>223</v>
      </c>
      <c r="B292" s="130" t="s">
        <v>9</v>
      </c>
      <c r="C292" s="262">
        <v>2014</v>
      </c>
      <c r="D292" s="261">
        <v>480000</v>
      </c>
      <c r="E292" s="88">
        <v>36000</v>
      </c>
      <c r="F292" s="88">
        <f t="shared" si="48"/>
        <v>516000</v>
      </c>
      <c r="G292" s="261">
        <v>330000</v>
      </c>
      <c r="H292" s="261">
        <v>0</v>
      </c>
      <c r="I292" s="88">
        <v>24750</v>
      </c>
      <c r="J292" s="88">
        <f t="shared" si="49"/>
        <v>731000</v>
      </c>
      <c r="K292" s="88">
        <f t="shared" si="50"/>
        <v>731000</v>
      </c>
    </row>
    <row r="293" spans="1:11" s="248" customFormat="1" x14ac:dyDescent="0.2">
      <c r="A293" s="65">
        <f t="shared" si="47"/>
        <v>224</v>
      </c>
      <c r="B293" s="130" t="s">
        <v>10</v>
      </c>
      <c r="C293" s="262">
        <v>2015</v>
      </c>
      <c r="D293" s="261">
        <v>350000</v>
      </c>
      <c r="E293" s="88">
        <v>26250</v>
      </c>
      <c r="F293" s="88">
        <f t="shared" si="48"/>
        <v>376250</v>
      </c>
      <c r="G293" s="261">
        <v>50000</v>
      </c>
      <c r="H293" s="261">
        <v>0</v>
      </c>
      <c r="I293" s="88">
        <v>3750</v>
      </c>
      <c r="J293" s="88">
        <f t="shared" si="49"/>
        <v>1053500</v>
      </c>
      <c r="K293" s="88">
        <f t="shared" si="50"/>
        <v>1053500</v>
      </c>
    </row>
    <row r="294" spans="1:11" s="248" customFormat="1" x14ac:dyDescent="0.2">
      <c r="A294" s="65">
        <f t="shared" si="47"/>
        <v>225</v>
      </c>
      <c r="B294" s="118" t="s">
        <v>11</v>
      </c>
      <c r="C294" s="262">
        <v>2015</v>
      </c>
      <c r="D294" s="261">
        <v>200000</v>
      </c>
      <c r="E294" s="88">
        <v>15000</v>
      </c>
      <c r="F294" s="88">
        <f t="shared" si="48"/>
        <v>215000</v>
      </c>
      <c r="G294" s="261">
        <v>50000</v>
      </c>
      <c r="H294" s="261">
        <v>0</v>
      </c>
      <c r="I294" s="88">
        <v>3750</v>
      </c>
      <c r="J294" s="88">
        <f t="shared" si="49"/>
        <v>1214750</v>
      </c>
      <c r="K294" s="88">
        <f t="shared" si="50"/>
        <v>1214750</v>
      </c>
    </row>
    <row r="295" spans="1:11" s="248" customFormat="1" x14ac:dyDescent="0.2">
      <c r="A295" s="65">
        <f t="shared" si="47"/>
        <v>226</v>
      </c>
      <c r="B295" s="118" t="s">
        <v>21</v>
      </c>
      <c r="C295" s="262">
        <v>2015</v>
      </c>
      <c r="D295" s="261">
        <v>350000</v>
      </c>
      <c r="E295" s="88">
        <v>26250</v>
      </c>
      <c r="F295" s="88">
        <f t="shared" si="48"/>
        <v>376250</v>
      </c>
      <c r="G295" s="261">
        <v>50000</v>
      </c>
      <c r="H295" s="261">
        <v>0</v>
      </c>
      <c r="I295" s="88">
        <v>3750</v>
      </c>
      <c r="J295" s="88">
        <f t="shared" si="49"/>
        <v>1537250</v>
      </c>
      <c r="K295" s="88">
        <f t="shared" si="50"/>
        <v>1537250</v>
      </c>
    </row>
    <row r="296" spans="1:11" s="248" customFormat="1" x14ac:dyDescent="0.2">
      <c r="A296" s="65">
        <f t="shared" si="47"/>
        <v>227</v>
      </c>
      <c r="B296" s="130" t="s">
        <v>12</v>
      </c>
      <c r="C296" s="262">
        <v>2015</v>
      </c>
      <c r="D296" s="261">
        <v>290000</v>
      </c>
      <c r="E296" s="88">
        <v>21750</v>
      </c>
      <c r="F296" s="88">
        <f t="shared" si="48"/>
        <v>311750</v>
      </c>
      <c r="G296" s="261">
        <v>50000</v>
      </c>
      <c r="H296" s="261">
        <v>0</v>
      </c>
      <c r="I296" s="88">
        <v>3750</v>
      </c>
      <c r="J296" s="88">
        <f t="shared" si="49"/>
        <v>1795250</v>
      </c>
      <c r="K296" s="88">
        <f t="shared" si="50"/>
        <v>1795250</v>
      </c>
    </row>
    <row r="297" spans="1:11" s="248" customFormat="1" x14ac:dyDescent="0.2">
      <c r="A297" s="65">
        <f t="shared" si="47"/>
        <v>228</v>
      </c>
      <c r="B297" s="118" t="s">
        <v>13</v>
      </c>
      <c r="C297" s="262">
        <v>2015</v>
      </c>
      <c r="D297" s="261">
        <v>480000</v>
      </c>
      <c r="E297" s="88">
        <v>36000</v>
      </c>
      <c r="F297" s="88">
        <f t="shared" si="48"/>
        <v>516000</v>
      </c>
      <c r="G297" s="261">
        <v>2150000</v>
      </c>
      <c r="H297" s="261">
        <v>0</v>
      </c>
      <c r="I297" s="88">
        <v>161250</v>
      </c>
      <c r="J297" s="88">
        <f t="shared" si="49"/>
        <v>0</v>
      </c>
      <c r="K297" s="88">
        <f t="shared" si="50"/>
        <v>0</v>
      </c>
    </row>
    <row r="298" spans="1:11" s="248" customFormat="1" x14ac:dyDescent="0.2">
      <c r="A298" s="65">
        <f t="shared" si="47"/>
        <v>229</v>
      </c>
      <c r="B298" s="118" t="s">
        <v>28</v>
      </c>
      <c r="C298" s="262">
        <v>2015</v>
      </c>
      <c r="D298" s="261">
        <v>443000</v>
      </c>
      <c r="E298" s="88">
        <v>33225</v>
      </c>
      <c r="F298" s="88">
        <f t="shared" si="48"/>
        <v>476225</v>
      </c>
      <c r="G298" s="261">
        <v>443000</v>
      </c>
      <c r="H298" s="261">
        <v>0</v>
      </c>
      <c r="I298" s="88">
        <v>33225</v>
      </c>
      <c r="J298" s="88">
        <f t="shared" si="49"/>
        <v>0</v>
      </c>
      <c r="K298" s="88">
        <f t="shared" si="50"/>
        <v>0</v>
      </c>
    </row>
    <row r="299" spans="1:11" s="248" customFormat="1" x14ac:dyDescent="0.2">
      <c r="A299" s="65">
        <f t="shared" si="47"/>
        <v>230</v>
      </c>
      <c r="B299" s="130" t="s">
        <v>14</v>
      </c>
      <c r="C299" s="262">
        <v>2015</v>
      </c>
      <c r="D299" s="261">
        <v>50000</v>
      </c>
      <c r="E299" s="88">
        <v>3750</v>
      </c>
      <c r="F299" s="88">
        <f t="shared" si="48"/>
        <v>53750</v>
      </c>
      <c r="G299" s="261">
        <v>50000</v>
      </c>
      <c r="H299" s="261">
        <v>0</v>
      </c>
      <c r="I299" s="88">
        <v>3750</v>
      </c>
      <c r="J299" s="88">
        <f t="shared" si="49"/>
        <v>0</v>
      </c>
      <c r="K299" s="88">
        <f t="shared" si="50"/>
        <v>0</v>
      </c>
    </row>
    <row r="300" spans="1:11" s="248" customFormat="1" x14ac:dyDescent="0.2">
      <c r="A300" s="65">
        <f t="shared" si="47"/>
        <v>231</v>
      </c>
      <c r="B300" s="118" t="s">
        <v>15</v>
      </c>
      <c r="C300" s="262">
        <v>2015</v>
      </c>
      <c r="D300" s="261">
        <v>50000</v>
      </c>
      <c r="E300" s="88">
        <v>3750</v>
      </c>
      <c r="F300" s="88">
        <f t="shared" si="48"/>
        <v>53750</v>
      </c>
      <c r="G300" s="261">
        <v>50000</v>
      </c>
      <c r="H300" s="261">
        <v>0</v>
      </c>
      <c r="I300" s="88">
        <v>3750</v>
      </c>
      <c r="J300" s="88">
        <f t="shared" si="49"/>
        <v>0</v>
      </c>
      <c r="K300" s="88">
        <f t="shared" si="50"/>
        <v>0</v>
      </c>
    </row>
    <row r="301" spans="1:11" s="248" customFormat="1" x14ac:dyDescent="0.2">
      <c r="A301" s="65">
        <f t="shared" si="47"/>
        <v>232</v>
      </c>
      <c r="B301" s="118" t="s">
        <v>16</v>
      </c>
      <c r="C301" s="262">
        <v>2015</v>
      </c>
      <c r="D301" s="261">
        <v>50000</v>
      </c>
      <c r="E301" s="88">
        <v>3750</v>
      </c>
      <c r="F301" s="88">
        <f t="shared" si="48"/>
        <v>53750</v>
      </c>
      <c r="G301" s="261">
        <v>50000</v>
      </c>
      <c r="H301" s="261">
        <v>0</v>
      </c>
      <c r="I301" s="88">
        <v>3750</v>
      </c>
      <c r="J301" s="88">
        <f t="shared" si="49"/>
        <v>0</v>
      </c>
      <c r="K301" s="88">
        <f t="shared" si="50"/>
        <v>0</v>
      </c>
    </row>
    <row r="302" spans="1:11" s="248" customFormat="1" x14ac:dyDescent="0.2">
      <c r="A302" s="65">
        <f t="shared" si="47"/>
        <v>233</v>
      </c>
      <c r="B302" s="118" t="s">
        <v>18</v>
      </c>
      <c r="C302" s="262">
        <v>2015</v>
      </c>
      <c r="D302" s="261">
        <v>2600000</v>
      </c>
      <c r="E302" s="88">
        <v>195000</v>
      </c>
      <c r="F302" s="88">
        <f t="shared" si="48"/>
        <v>2795000</v>
      </c>
      <c r="G302" s="261">
        <v>2600000</v>
      </c>
      <c r="H302" s="261">
        <v>0</v>
      </c>
      <c r="I302" s="88">
        <v>195000</v>
      </c>
      <c r="J302" s="88">
        <f t="shared" si="49"/>
        <v>0</v>
      </c>
      <c r="K302" s="88">
        <f t="shared" si="50"/>
        <v>0</v>
      </c>
    </row>
    <row r="303" spans="1:11" s="248" customFormat="1" x14ac:dyDescent="0.2">
      <c r="A303" s="65">
        <f t="shared" si="47"/>
        <v>234</v>
      </c>
      <c r="B303" s="118" t="s">
        <v>17</v>
      </c>
      <c r="C303" s="262">
        <v>2015</v>
      </c>
      <c r="D303" s="261">
        <v>2650000</v>
      </c>
      <c r="E303" s="88">
        <v>198750</v>
      </c>
      <c r="F303" s="88">
        <f t="shared" si="48"/>
        <v>2848750</v>
      </c>
      <c r="G303" s="261">
        <v>2650000</v>
      </c>
      <c r="H303" s="261">
        <v>0</v>
      </c>
      <c r="I303" s="88">
        <v>198750</v>
      </c>
      <c r="J303" s="88">
        <f t="shared" si="49"/>
        <v>0</v>
      </c>
      <c r="K303" s="88">
        <f t="shared" si="50"/>
        <v>0</v>
      </c>
    </row>
    <row r="304" spans="1:11" s="248" customFormat="1" x14ac:dyDescent="0.2">
      <c r="A304" s="65">
        <f t="shared" si="47"/>
        <v>235</v>
      </c>
      <c r="B304" s="118" t="s">
        <v>9</v>
      </c>
      <c r="C304" s="262">
        <v>2015</v>
      </c>
      <c r="D304" s="261">
        <v>2800000</v>
      </c>
      <c r="E304" s="88">
        <v>210000</v>
      </c>
      <c r="F304" s="88">
        <f t="shared" si="48"/>
        <v>3010000</v>
      </c>
      <c r="G304" s="261">
        <v>2800000</v>
      </c>
      <c r="H304" s="261">
        <v>0</v>
      </c>
      <c r="I304" s="88">
        <v>210000</v>
      </c>
      <c r="J304" s="88">
        <f t="shared" si="49"/>
        <v>0</v>
      </c>
      <c r="K304" s="260">
        <f t="shared" si="50"/>
        <v>0</v>
      </c>
    </row>
    <row r="305" spans="1:12" s="248" customFormat="1" x14ac:dyDescent="0.2">
      <c r="A305" s="65">
        <f t="shared" si="47"/>
        <v>236</v>
      </c>
      <c r="B305"/>
      <c r="C305" s="259" t="s">
        <v>343</v>
      </c>
      <c r="D305"/>
      <c r="E305"/>
      <c r="F305"/>
      <c r="G305"/>
      <c r="H305"/>
      <c r="I305"/>
      <c r="J305"/>
      <c r="K305" s="258">
        <f>AVERAGE(K292:K304)</f>
        <v>487057.69230769231</v>
      </c>
    </row>
    <row r="306" spans="1:12" s="248" customFormat="1" x14ac:dyDescent="0.2">
      <c r="A306" s="65"/>
      <c r="B306"/>
      <c r="C306" s="259"/>
      <c r="D306"/>
      <c r="E306"/>
      <c r="F306"/>
      <c r="G306"/>
      <c r="H306"/>
      <c r="I306"/>
      <c r="J306"/>
      <c r="K306" s="258"/>
    </row>
    <row r="307" spans="1:12" s="248" customFormat="1" x14ac:dyDescent="0.2">
      <c r="B307" s="269" t="s">
        <v>356</v>
      </c>
      <c r="D307" s="548" t="s">
        <v>355</v>
      </c>
      <c r="E307" s="548"/>
    </row>
    <row r="308" spans="1:12" s="248" customFormat="1" x14ac:dyDescent="0.2">
      <c r="A308" s="263"/>
      <c r="B308" s="263"/>
      <c r="C308" s="263"/>
      <c r="D308" s="263" t="s">
        <v>167</v>
      </c>
      <c r="E308" s="263" t="s">
        <v>168</v>
      </c>
      <c r="F308" s="263" t="s">
        <v>184</v>
      </c>
      <c r="G308" s="263" t="s">
        <v>185</v>
      </c>
      <c r="H308" s="263" t="s">
        <v>186</v>
      </c>
      <c r="I308" s="263" t="s">
        <v>187</v>
      </c>
      <c r="J308" s="263" t="s">
        <v>188</v>
      </c>
      <c r="K308" s="263" t="s">
        <v>350</v>
      </c>
    </row>
    <row r="309" spans="1:12" s="248" customFormat="1" ht="38.25" x14ac:dyDescent="0.2">
      <c r="D309" s="265"/>
      <c r="E309" s="264" t="s">
        <v>349</v>
      </c>
      <c r="F309" s="252" t="s">
        <v>348</v>
      </c>
      <c r="G309" s="266"/>
      <c r="H309" s="265"/>
      <c r="I309" s="264" t="s">
        <v>347</v>
      </c>
      <c r="J309" s="264" t="s">
        <v>346</v>
      </c>
      <c r="K309" s="264" t="s">
        <v>345</v>
      </c>
    </row>
    <row r="310" spans="1:12" s="248" customFormat="1" x14ac:dyDescent="0.2">
      <c r="D310" s="265"/>
      <c r="E310" s="265"/>
      <c r="F310" s="265"/>
      <c r="G310" s="60" t="str">
        <f>G51</f>
        <v>Unloaded</v>
      </c>
      <c r="H310" s="265"/>
      <c r="I310" s="265"/>
    </row>
    <row r="311" spans="1:12" s="248" customFormat="1" x14ac:dyDescent="0.2">
      <c r="A311" s="255"/>
      <c r="B311" s="255"/>
      <c r="C311" s="255"/>
      <c r="D311" s="255" t="str">
        <f>D$52</f>
        <v>Forecast</v>
      </c>
      <c r="E311" s="255" t="str">
        <f t="shared" ref="E311:J311" si="51">E$52</f>
        <v>Corporate</v>
      </c>
      <c r="F311" s="255" t="str">
        <f t="shared" si="51"/>
        <v xml:space="preserve">Total </v>
      </c>
      <c r="G311" s="60" t="str">
        <f>G52</f>
        <v>Total</v>
      </c>
      <c r="H311" s="255" t="str">
        <f t="shared" si="51"/>
        <v>Prior Period</v>
      </c>
      <c r="I311" s="255" t="str">
        <f t="shared" si="51"/>
        <v>Over Heads</v>
      </c>
      <c r="J311" s="255" t="str">
        <f t="shared" si="51"/>
        <v>Forecast</v>
      </c>
      <c r="K311" s="60" t="str">
        <f>K$52</f>
        <v>Forecast Period</v>
      </c>
    </row>
    <row r="312" spans="1:12" s="248" customFormat="1" x14ac:dyDescent="0.2">
      <c r="A312" s="102" t="s">
        <v>170</v>
      </c>
      <c r="B312" s="128" t="s">
        <v>19</v>
      </c>
      <c r="C312" s="128" t="s">
        <v>20</v>
      </c>
      <c r="D312" s="263" t="str">
        <f>D$53</f>
        <v>Expenditures</v>
      </c>
      <c r="E312" s="263" t="str">
        <f t="shared" ref="E312:J312" si="52">E$53</f>
        <v>Overheads</v>
      </c>
      <c r="F312" s="263" t="str">
        <f t="shared" si="52"/>
        <v>CWIP Exp</v>
      </c>
      <c r="G312" s="64" t="str">
        <f>G53</f>
        <v>Plant Adds</v>
      </c>
      <c r="H312" s="263" t="str">
        <f t="shared" si="52"/>
        <v>CWIP Closed</v>
      </c>
      <c r="I312" s="263" t="str">
        <f t="shared" si="52"/>
        <v>Closed to PIS</v>
      </c>
      <c r="J312" s="263" t="str">
        <f t="shared" si="52"/>
        <v>Period CWIP</v>
      </c>
      <c r="K312" s="263" t="str">
        <f>K$53</f>
        <v>Incremental CWIP</v>
      </c>
    </row>
    <row r="313" spans="1:12" s="248" customFormat="1" x14ac:dyDescent="0.2">
      <c r="A313" s="65">
        <f>A305+1</f>
        <v>237</v>
      </c>
      <c r="B313" s="130" t="s">
        <v>9</v>
      </c>
      <c r="C313" s="262">
        <v>2013</v>
      </c>
      <c r="D313" s="252" t="s">
        <v>344</v>
      </c>
      <c r="E313" s="252" t="s">
        <v>344</v>
      </c>
      <c r="F313" s="252" t="s">
        <v>344</v>
      </c>
      <c r="G313" s="252" t="s">
        <v>344</v>
      </c>
      <c r="H313" s="252" t="s">
        <v>344</v>
      </c>
      <c r="I313" s="252" t="s">
        <v>344</v>
      </c>
      <c r="J313" s="88">
        <f>F45</f>
        <v>22710040.250000004</v>
      </c>
      <c r="K313" s="252" t="s">
        <v>344</v>
      </c>
    </row>
    <row r="314" spans="1:12" s="248" customFormat="1" x14ac:dyDescent="0.2">
      <c r="A314" s="65">
        <f>A313+1</f>
        <v>238</v>
      </c>
      <c r="B314" s="130" t="s">
        <v>10</v>
      </c>
      <c r="C314" s="262">
        <v>2014</v>
      </c>
      <c r="D314" s="261">
        <v>157978.77000000002</v>
      </c>
      <c r="E314" s="88">
        <v>11848.40775</v>
      </c>
      <c r="F314" s="88">
        <f>E314+D314</f>
        <v>169827.17775000003</v>
      </c>
      <c r="G314" s="261">
        <v>0</v>
      </c>
      <c r="H314" s="261">
        <v>0</v>
      </c>
      <c r="I314" s="88">
        <v>0</v>
      </c>
      <c r="J314" s="88">
        <f>J313+F314-G314-I314</f>
        <v>22879867.427750003</v>
      </c>
      <c r="K314" s="88">
        <f>J314-$J$313</f>
        <v>169827.17774999887</v>
      </c>
      <c r="L314" s="255"/>
    </row>
    <row r="315" spans="1:12" s="248" customFormat="1" x14ac:dyDescent="0.2">
      <c r="A315" s="65">
        <f t="shared" ref="A315:A338" si="53">A314+1</f>
        <v>239</v>
      </c>
      <c r="B315" s="118" t="s">
        <v>11</v>
      </c>
      <c r="C315" s="262">
        <v>2014</v>
      </c>
      <c r="D315" s="261">
        <v>585626.12</v>
      </c>
      <c r="E315" s="88">
        <v>43921.958999999995</v>
      </c>
      <c r="F315" s="88">
        <f t="shared" ref="F315:F337" si="54">E315+D315</f>
        <v>629548.07900000003</v>
      </c>
      <c r="G315" s="261">
        <v>0</v>
      </c>
      <c r="H315" s="261">
        <v>0</v>
      </c>
      <c r="I315" s="88">
        <v>0</v>
      </c>
      <c r="J315" s="88">
        <f t="shared" ref="J315:J337" si="55">J314+F315-G315-I315</f>
        <v>23509415.506750003</v>
      </c>
      <c r="K315" s="88">
        <f t="shared" ref="K315:K337" si="56">J315-$J$313</f>
        <v>799375.25674999878</v>
      </c>
      <c r="L315" s="255"/>
    </row>
    <row r="316" spans="1:12" s="248" customFormat="1" x14ac:dyDescent="0.2">
      <c r="A316" s="65">
        <f t="shared" si="53"/>
        <v>240</v>
      </c>
      <c r="B316" s="118" t="s">
        <v>21</v>
      </c>
      <c r="C316" s="262">
        <v>2014</v>
      </c>
      <c r="D316" s="261">
        <v>394356</v>
      </c>
      <c r="E316" s="88">
        <v>29576.699999999997</v>
      </c>
      <c r="F316" s="88">
        <f t="shared" si="54"/>
        <v>423932.7</v>
      </c>
      <c r="G316" s="261">
        <v>0</v>
      </c>
      <c r="H316" s="261">
        <v>0</v>
      </c>
      <c r="I316" s="88">
        <v>0</v>
      </c>
      <c r="J316" s="88">
        <f t="shared" si="55"/>
        <v>23933348.206750002</v>
      </c>
      <c r="K316" s="88">
        <f t="shared" si="56"/>
        <v>1223307.956749998</v>
      </c>
      <c r="L316" s="255"/>
    </row>
    <row r="317" spans="1:12" s="248" customFormat="1" x14ac:dyDescent="0.2">
      <c r="A317" s="65">
        <f t="shared" si="53"/>
        <v>241</v>
      </c>
      <c r="B317" s="130" t="s">
        <v>12</v>
      </c>
      <c r="C317" s="262">
        <v>2014</v>
      </c>
      <c r="D317" s="261">
        <v>784073.60857222229</v>
      </c>
      <c r="E317" s="88">
        <v>58805.520642916672</v>
      </c>
      <c r="F317" s="88">
        <f t="shared" si="54"/>
        <v>842879.12921513896</v>
      </c>
      <c r="G317" s="261">
        <v>0</v>
      </c>
      <c r="H317" s="261">
        <v>0</v>
      </c>
      <c r="I317" s="88">
        <v>0</v>
      </c>
      <c r="J317" s="88">
        <f t="shared" si="55"/>
        <v>24776227.335965142</v>
      </c>
      <c r="K317" s="88">
        <f t="shared" si="56"/>
        <v>2066187.0859651379</v>
      </c>
      <c r="L317" s="263"/>
    </row>
    <row r="318" spans="1:12" s="248" customFormat="1" x14ac:dyDescent="0.2">
      <c r="A318" s="65">
        <f t="shared" si="53"/>
        <v>242</v>
      </c>
      <c r="B318" s="118" t="s">
        <v>13</v>
      </c>
      <c r="C318" s="262">
        <v>2014</v>
      </c>
      <c r="D318" s="261">
        <v>785501.20140555559</v>
      </c>
      <c r="E318" s="88">
        <v>58912.590105416668</v>
      </c>
      <c r="F318" s="88">
        <f t="shared" si="54"/>
        <v>844413.79151097231</v>
      </c>
      <c r="G318" s="261">
        <v>0</v>
      </c>
      <c r="H318" s="261">
        <v>0</v>
      </c>
      <c r="I318" s="88">
        <v>0</v>
      </c>
      <c r="J318" s="88">
        <f t="shared" si="55"/>
        <v>25620641.127476115</v>
      </c>
      <c r="K318" s="88">
        <f t="shared" si="56"/>
        <v>2910600.8774761111</v>
      </c>
    </row>
    <row r="319" spans="1:12" s="248" customFormat="1" x14ac:dyDescent="0.2">
      <c r="A319" s="65">
        <f t="shared" si="53"/>
        <v>243</v>
      </c>
      <c r="B319" s="118" t="s">
        <v>28</v>
      </c>
      <c r="C319" s="262">
        <v>2014</v>
      </c>
      <c r="D319" s="261">
        <v>799164.36915555538</v>
      </c>
      <c r="E319" s="88">
        <v>59937.327686666649</v>
      </c>
      <c r="F319" s="88">
        <f t="shared" si="54"/>
        <v>859101.69684222201</v>
      </c>
      <c r="G319" s="261">
        <v>0</v>
      </c>
      <c r="H319" s="261">
        <v>0</v>
      </c>
      <c r="I319" s="88">
        <v>0</v>
      </c>
      <c r="J319" s="88">
        <f t="shared" si="55"/>
        <v>26479742.824318338</v>
      </c>
      <c r="K319" s="88">
        <f t="shared" si="56"/>
        <v>3769702.5743183345</v>
      </c>
    </row>
    <row r="320" spans="1:12" s="248" customFormat="1" x14ac:dyDescent="0.2">
      <c r="A320" s="65">
        <f t="shared" si="53"/>
        <v>244</v>
      </c>
      <c r="B320" s="130" t="s">
        <v>14</v>
      </c>
      <c r="C320" s="262">
        <v>2014</v>
      </c>
      <c r="D320" s="261">
        <v>799164.3691555555</v>
      </c>
      <c r="E320" s="88">
        <v>59937.327686666657</v>
      </c>
      <c r="F320" s="88">
        <f t="shared" si="54"/>
        <v>859101.69684222213</v>
      </c>
      <c r="G320" s="261">
        <v>0</v>
      </c>
      <c r="H320" s="261">
        <v>0</v>
      </c>
      <c r="I320" s="88">
        <v>0</v>
      </c>
      <c r="J320" s="88">
        <f t="shared" si="55"/>
        <v>27338844.521160562</v>
      </c>
      <c r="K320" s="88">
        <f t="shared" si="56"/>
        <v>4628804.2711605579</v>
      </c>
    </row>
    <row r="321" spans="1:11" s="248" customFormat="1" x14ac:dyDescent="0.2">
      <c r="A321" s="65">
        <f t="shared" si="53"/>
        <v>245</v>
      </c>
      <c r="B321" s="118" t="s">
        <v>15</v>
      </c>
      <c r="C321" s="262">
        <v>2014</v>
      </c>
      <c r="D321" s="261">
        <v>956881.36915555561</v>
      </c>
      <c r="E321" s="88">
        <v>71766.102686666665</v>
      </c>
      <c r="F321" s="88">
        <f t="shared" si="54"/>
        <v>1028647.4718422223</v>
      </c>
      <c r="G321" s="261">
        <v>0</v>
      </c>
      <c r="H321" s="261">
        <v>0</v>
      </c>
      <c r="I321" s="88">
        <v>0</v>
      </c>
      <c r="J321" s="88">
        <f t="shared" si="55"/>
        <v>28367491.993002784</v>
      </c>
      <c r="K321" s="88">
        <f t="shared" si="56"/>
        <v>5657451.7430027798</v>
      </c>
    </row>
    <row r="322" spans="1:11" s="248" customFormat="1" x14ac:dyDescent="0.2">
      <c r="A322" s="65">
        <f t="shared" si="53"/>
        <v>246</v>
      </c>
      <c r="B322" s="118" t="s">
        <v>16</v>
      </c>
      <c r="C322" s="262">
        <v>2014</v>
      </c>
      <c r="D322" s="261">
        <v>1103028.7396805556</v>
      </c>
      <c r="E322" s="88">
        <v>82727.155476041677</v>
      </c>
      <c r="F322" s="88">
        <f t="shared" si="54"/>
        <v>1185755.8951565973</v>
      </c>
      <c r="G322" s="261">
        <v>0</v>
      </c>
      <c r="H322" s="261">
        <v>0</v>
      </c>
      <c r="I322" s="88">
        <v>0</v>
      </c>
      <c r="J322" s="88">
        <f t="shared" si="55"/>
        <v>29553247.888159379</v>
      </c>
      <c r="K322" s="88">
        <f t="shared" si="56"/>
        <v>6843207.6381593756</v>
      </c>
    </row>
    <row r="323" spans="1:11" s="248" customFormat="1" x14ac:dyDescent="0.2">
      <c r="A323" s="65">
        <f t="shared" si="53"/>
        <v>247</v>
      </c>
      <c r="B323" s="130" t="s">
        <v>18</v>
      </c>
      <c r="C323" s="262">
        <v>2014</v>
      </c>
      <c r="D323" s="261">
        <v>1550481.7396805561</v>
      </c>
      <c r="E323" s="88">
        <v>116286.13047604171</v>
      </c>
      <c r="F323" s="88">
        <f t="shared" si="54"/>
        <v>1666767.8701565978</v>
      </c>
      <c r="G323" s="261">
        <v>0</v>
      </c>
      <c r="H323" s="261">
        <v>0</v>
      </c>
      <c r="I323" s="88">
        <v>0</v>
      </c>
      <c r="J323" s="88">
        <f t="shared" si="55"/>
        <v>31220015.758315977</v>
      </c>
      <c r="K323" s="88">
        <f t="shared" si="56"/>
        <v>8509975.508315973</v>
      </c>
    </row>
    <row r="324" spans="1:11" s="248" customFormat="1" x14ac:dyDescent="0.2">
      <c r="A324" s="65">
        <f t="shared" si="53"/>
        <v>248</v>
      </c>
      <c r="B324" s="130" t="s">
        <v>17</v>
      </c>
      <c r="C324" s="262">
        <v>2014</v>
      </c>
      <c r="D324" s="261">
        <v>1539883.0865972226</v>
      </c>
      <c r="E324" s="88">
        <v>115491.23149479169</v>
      </c>
      <c r="F324" s="88">
        <f t="shared" si="54"/>
        <v>1655374.3180920142</v>
      </c>
      <c r="G324" s="261">
        <v>0</v>
      </c>
      <c r="H324" s="261">
        <v>0</v>
      </c>
      <c r="I324" s="88">
        <v>0</v>
      </c>
      <c r="J324" s="88">
        <f t="shared" si="55"/>
        <v>32875390.076407991</v>
      </c>
      <c r="K324" s="88">
        <f t="shared" si="56"/>
        <v>10165349.826407988</v>
      </c>
    </row>
    <row r="325" spans="1:11" s="248" customFormat="1" x14ac:dyDescent="0.2">
      <c r="A325" s="65">
        <f t="shared" si="53"/>
        <v>249</v>
      </c>
      <c r="B325" s="130" t="s">
        <v>9</v>
      </c>
      <c r="C325" s="262">
        <v>2014</v>
      </c>
      <c r="D325" s="261">
        <v>1343923.0865972214</v>
      </c>
      <c r="E325" s="88">
        <v>100794.2314947916</v>
      </c>
      <c r="F325" s="88">
        <f t="shared" si="54"/>
        <v>1444717.318092013</v>
      </c>
      <c r="G325" s="261">
        <v>0</v>
      </c>
      <c r="H325" s="261">
        <v>0</v>
      </c>
      <c r="I325" s="88">
        <v>0</v>
      </c>
      <c r="J325" s="88">
        <f t="shared" si="55"/>
        <v>34320107.394500002</v>
      </c>
      <c r="K325" s="88">
        <f t="shared" si="56"/>
        <v>11610067.144499999</v>
      </c>
    </row>
    <row r="326" spans="1:11" s="248" customFormat="1" x14ac:dyDescent="0.2">
      <c r="A326" s="65">
        <f t="shared" si="53"/>
        <v>250</v>
      </c>
      <c r="B326" s="130" t="s">
        <v>10</v>
      </c>
      <c r="C326" s="262">
        <v>2015</v>
      </c>
      <c r="D326" s="261">
        <v>1262626.1971367984</v>
      </c>
      <c r="E326" s="88">
        <v>94696.964785259872</v>
      </c>
      <c r="F326" s="88">
        <f t="shared" si="54"/>
        <v>1357323.1619220583</v>
      </c>
      <c r="G326" s="261">
        <v>0</v>
      </c>
      <c r="H326" s="261">
        <v>0</v>
      </c>
      <c r="I326" s="88">
        <v>0</v>
      </c>
      <c r="J326" s="88">
        <f t="shared" si="55"/>
        <v>35677430.556422062</v>
      </c>
      <c r="K326" s="88">
        <f t="shared" si="56"/>
        <v>12967390.306422058</v>
      </c>
    </row>
    <row r="327" spans="1:11" s="248" customFormat="1" x14ac:dyDescent="0.2">
      <c r="A327" s="65">
        <f t="shared" si="53"/>
        <v>251</v>
      </c>
      <c r="B327" s="118" t="s">
        <v>11</v>
      </c>
      <c r="C327" s="262">
        <v>2015</v>
      </c>
      <c r="D327" s="261">
        <v>1282051.6289330686</v>
      </c>
      <c r="E327" s="88">
        <v>96153.872169980139</v>
      </c>
      <c r="F327" s="88">
        <f t="shared" si="54"/>
        <v>1378205.5011030487</v>
      </c>
      <c r="G327" s="261">
        <v>0</v>
      </c>
      <c r="H327" s="261">
        <v>0</v>
      </c>
      <c r="I327" s="88">
        <v>0</v>
      </c>
      <c r="J327" s="88">
        <f t="shared" si="55"/>
        <v>37055636.057525113</v>
      </c>
      <c r="K327" s="88">
        <f t="shared" si="56"/>
        <v>14345595.807525109</v>
      </c>
    </row>
    <row r="328" spans="1:11" s="248" customFormat="1" x14ac:dyDescent="0.2">
      <c r="A328" s="65">
        <f t="shared" si="53"/>
        <v>252</v>
      </c>
      <c r="B328" s="118" t="s">
        <v>21</v>
      </c>
      <c r="C328" s="262">
        <v>2015</v>
      </c>
      <c r="D328" s="261">
        <v>1316209.1389632272</v>
      </c>
      <c r="E328" s="88">
        <v>98715.685422242037</v>
      </c>
      <c r="F328" s="88">
        <f t="shared" si="54"/>
        <v>1414924.8243854693</v>
      </c>
      <c r="G328" s="261">
        <v>0</v>
      </c>
      <c r="H328" s="261">
        <v>0</v>
      </c>
      <c r="I328" s="88">
        <v>0</v>
      </c>
      <c r="J328" s="88">
        <f t="shared" si="55"/>
        <v>38470560.881910585</v>
      </c>
      <c r="K328" s="88">
        <f t="shared" si="56"/>
        <v>15760520.631910581</v>
      </c>
    </row>
    <row r="329" spans="1:11" s="248" customFormat="1" x14ac:dyDescent="0.2">
      <c r="A329" s="65">
        <f t="shared" si="53"/>
        <v>253</v>
      </c>
      <c r="B329" s="130" t="s">
        <v>12</v>
      </c>
      <c r="C329" s="262">
        <v>2015</v>
      </c>
      <c r="D329" s="261">
        <v>1350527.0554068778</v>
      </c>
      <c r="E329" s="88">
        <v>101289.52915551583</v>
      </c>
      <c r="F329" s="88">
        <f t="shared" si="54"/>
        <v>1451816.5845623936</v>
      </c>
      <c r="G329" s="261">
        <v>0</v>
      </c>
      <c r="H329" s="261">
        <v>0</v>
      </c>
      <c r="I329" s="88">
        <v>0</v>
      </c>
      <c r="J329" s="88">
        <f t="shared" si="55"/>
        <v>39922377.466472976</v>
      </c>
      <c r="K329" s="88">
        <f t="shared" si="56"/>
        <v>17212337.216472972</v>
      </c>
    </row>
    <row r="330" spans="1:11" s="248" customFormat="1" x14ac:dyDescent="0.2">
      <c r="A330" s="65">
        <f t="shared" si="53"/>
        <v>254</v>
      </c>
      <c r="B330" s="118" t="s">
        <v>13</v>
      </c>
      <c r="C330" s="262">
        <v>2015</v>
      </c>
      <c r="D330" s="261">
        <v>1352793.5289813222</v>
      </c>
      <c r="E330" s="88">
        <v>101459.51467359916</v>
      </c>
      <c r="F330" s="88">
        <f t="shared" si="54"/>
        <v>1454253.0436549215</v>
      </c>
      <c r="G330" s="261">
        <v>0</v>
      </c>
      <c r="H330" s="261">
        <v>0</v>
      </c>
      <c r="I330" s="88">
        <v>0</v>
      </c>
      <c r="J330" s="88">
        <f t="shared" si="55"/>
        <v>41376630.510127895</v>
      </c>
      <c r="K330" s="88">
        <f t="shared" si="56"/>
        <v>18666590.260127891</v>
      </c>
    </row>
    <row r="331" spans="1:11" s="248" customFormat="1" x14ac:dyDescent="0.2">
      <c r="A331" s="65">
        <f t="shared" si="53"/>
        <v>255</v>
      </c>
      <c r="B331" s="118" t="s">
        <v>28</v>
      </c>
      <c r="C331" s="262">
        <v>2015</v>
      </c>
      <c r="D331" s="261">
        <v>1374485.4343520366</v>
      </c>
      <c r="E331" s="88">
        <v>103086.40757640274</v>
      </c>
      <c r="F331" s="88">
        <f t="shared" si="54"/>
        <v>1477571.8419284392</v>
      </c>
      <c r="G331" s="261">
        <v>0</v>
      </c>
      <c r="H331" s="261">
        <v>0</v>
      </c>
      <c r="I331" s="88">
        <v>0</v>
      </c>
      <c r="J331" s="88">
        <f t="shared" si="55"/>
        <v>42854202.352056332</v>
      </c>
      <c r="K331" s="88">
        <f t="shared" si="56"/>
        <v>20144162.102056328</v>
      </c>
    </row>
    <row r="332" spans="1:11" s="248" customFormat="1" x14ac:dyDescent="0.2">
      <c r="A332" s="65">
        <f t="shared" si="53"/>
        <v>256</v>
      </c>
      <c r="B332" s="130" t="s">
        <v>14</v>
      </c>
      <c r="C332" s="262">
        <v>2015</v>
      </c>
      <c r="D332" s="261">
        <v>1374485.4343520366</v>
      </c>
      <c r="E332" s="88">
        <v>103086.40757640274</v>
      </c>
      <c r="F332" s="88">
        <f t="shared" si="54"/>
        <v>1477571.8419284392</v>
      </c>
      <c r="G332" s="261">
        <v>0</v>
      </c>
      <c r="H332" s="261">
        <v>0</v>
      </c>
      <c r="I332" s="88">
        <v>0</v>
      </c>
      <c r="J332" s="88">
        <f t="shared" si="55"/>
        <v>44331774.193984769</v>
      </c>
      <c r="K332" s="88">
        <f t="shared" si="56"/>
        <v>21621733.943984766</v>
      </c>
    </row>
    <row r="333" spans="1:11" s="248" customFormat="1" x14ac:dyDescent="0.2">
      <c r="A333" s="65">
        <f t="shared" si="53"/>
        <v>257</v>
      </c>
      <c r="B333" s="118" t="s">
        <v>15</v>
      </c>
      <c r="C333" s="262">
        <v>2015</v>
      </c>
      <c r="D333" s="261">
        <v>3749360.9000663222</v>
      </c>
      <c r="E333" s="88">
        <v>281202.06750497414</v>
      </c>
      <c r="F333" s="88">
        <f t="shared" si="54"/>
        <v>4030562.9675712963</v>
      </c>
      <c r="G333" s="261">
        <v>0</v>
      </c>
      <c r="H333" s="261">
        <v>0</v>
      </c>
      <c r="I333" s="88">
        <v>0</v>
      </c>
      <c r="J333" s="88">
        <f t="shared" si="55"/>
        <v>48362337.161556065</v>
      </c>
      <c r="K333" s="88">
        <f t="shared" si="56"/>
        <v>25652296.911556061</v>
      </c>
    </row>
    <row r="334" spans="1:11" s="248" customFormat="1" x14ac:dyDescent="0.2">
      <c r="A334" s="65">
        <f t="shared" si="53"/>
        <v>258</v>
      </c>
      <c r="B334" s="118" t="s">
        <v>16</v>
      </c>
      <c r="C334" s="262">
        <v>2015</v>
      </c>
      <c r="D334" s="261">
        <v>3763306.5457806084</v>
      </c>
      <c r="E334" s="88">
        <v>282247.99093354563</v>
      </c>
      <c r="F334" s="88">
        <f t="shared" si="54"/>
        <v>4045554.5367141543</v>
      </c>
      <c r="G334" s="261">
        <v>0</v>
      </c>
      <c r="H334" s="261">
        <v>0</v>
      </c>
      <c r="I334" s="88">
        <v>0</v>
      </c>
      <c r="J334" s="88">
        <f t="shared" si="55"/>
        <v>52407891.698270217</v>
      </c>
      <c r="K334" s="88">
        <f t="shared" si="56"/>
        <v>29697851.448270213</v>
      </c>
    </row>
    <row r="335" spans="1:11" s="248" customFormat="1" x14ac:dyDescent="0.2">
      <c r="A335" s="65">
        <f t="shared" si="53"/>
        <v>259</v>
      </c>
      <c r="B335" s="118" t="s">
        <v>18</v>
      </c>
      <c r="C335" s="262">
        <v>2015</v>
      </c>
      <c r="D335" s="261">
        <v>9026272.4038758483</v>
      </c>
      <c r="E335" s="88">
        <v>676970.43029068864</v>
      </c>
      <c r="F335" s="88">
        <f t="shared" si="54"/>
        <v>9703242.8341665361</v>
      </c>
      <c r="G335" s="261">
        <v>0</v>
      </c>
      <c r="H335" s="261">
        <v>0</v>
      </c>
      <c r="I335" s="88">
        <v>0</v>
      </c>
      <c r="J335" s="88">
        <f t="shared" si="55"/>
        <v>62111134.532436751</v>
      </c>
      <c r="K335" s="88">
        <f t="shared" si="56"/>
        <v>39401094.282436743</v>
      </c>
    </row>
    <row r="336" spans="1:11" s="248" customFormat="1" x14ac:dyDescent="0.2">
      <c r="A336" s="65">
        <f t="shared" si="53"/>
        <v>260</v>
      </c>
      <c r="B336" s="118" t="s">
        <v>17</v>
      </c>
      <c r="C336" s="262">
        <v>2015</v>
      </c>
      <c r="D336" s="261">
        <v>9009445.7803616412</v>
      </c>
      <c r="E336" s="88">
        <v>675708.43352712307</v>
      </c>
      <c r="F336" s="88">
        <f t="shared" si="54"/>
        <v>9685154.2138887644</v>
      </c>
      <c r="G336" s="261">
        <v>0</v>
      </c>
      <c r="H336" s="261">
        <v>0</v>
      </c>
      <c r="I336" s="88">
        <v>0</v>
      </c>
      <c r="J336" s="88">
        <f t="shared" si="55"/>
        <v>71796288.746325523</v>
      </c>
      <c r="K336" s="88">
        <f t="shared" si="56"/>
        <v>49086248.496325523</v>
      </c>
    </row>
    <row r="337" spans="1:11" s="248" customFormat="1" x14ac:dyDescent="0.2">
      <c r="A337" s="65">
        <f t="shared" si="53"/>
        <v>261</v>
      </c>
      <c r="B337" s="118" t="s">
        <v>9</v>
      </c>
      <c r="C337" s="262">
        <v>2015</v>
      </c>
      <c r="D337" s="261">
        <v>8848435.9517902099</v>
      </c>
      <c r="E337" s="88">
        <v>663632.69638426567</v>
      </c>
      <c r="F337" s="88">
        <f t="shared" si="54"/>
        <v>9512068.6481744759</v>
      </c>
      <c r="G337" s="261">
        <v>0</v>
      </c>
      <c r="H337" s="261">
        <v>0</v>
      </c>
      <c r="I337" s="88">
        <v>0</v>
      </c>
      <c r="J337" s="88">
        <f t="shared" si="55"/>
        <v>81308357.394500002</v>
      </c>
      <c r="K337" s="260">
        <f t="shared" si="56"/>
        <v>58598317.144500002</v>
      </c>
    </row>
    <row r="338" spans="1:11" s="248" customFormat="1" x14ac:dyDescent="0.2">
      <c r="A338" s="65">
        <f t="shared" si="53"/>
        <v>262</v>
      </c>
      <c r="B338"/>
      <c r="C338" s="259" t="s">
        <v>343</v>
      </c>
      <c r="D338"/>
      <c r="E338"/>
      <c r="F338"/>
      <c r="G338"/>
      <c r="H338"/>
      <c r="I338"/>
      <c r="J338"/>
      <c r="K338" s="258">
        <f>AVERAGE(K325:K337)</f>
        <v>25751092.74585294</v>
      </c>
    </row>
    <row r="339" spans="1:11" s="248" customFormat="1" x14ac:dyDescent="0.2">
      <c r="A339" s="65"/>
      <c r="B339"/>
      <c r="C339" s="259"/>
      <c r="D339"/>
      <c r="E339"/>
      <c r="F339"/>
      <c r="G339"/>
      <c r="H339"/>
      <c r="I339"/>
      <c r="J339"/>
      <c r="K339" s="258"/>
    </row>
    <row r="340" spans="1:11" s="248" customFormat="1" x14ac:dyDescent="0.2">
      <c r="B340" s="269" t="s">
        <v>354</v>
      </c>
      <c r="D340" s="548" t="s">
        <v>353</v>
      </c>
      <c r="E340" s="548"/>
    </row>
    <row r="341" spans="1:11" s="248" customFormat="1" x14ac:dyDescent="0.2">
      <c r="D341" s="265"/>
      <c r="E341" s="265"/>
      <c r="F341" s="265"/>
      <c r="G341" s="60" t="str">
        <f>G51</f>
        <v>Unloaded</v>
      </c>
      <c r="H341" s="265"/>
      <c r="I341" s="265"/>
    </row>
    <row r="342" spans="1:11" s="248" customFormat="1" x14ac:dyDescent="0.2">
      <c r="A342" s="255"/>
      <c r="B342" s="255"/>
      <c r="C342" s="255"/>
      <c r="D342" s="255" t="str">
        <f>D$52</f>
        <v>Forecast</v>
      </c>
      <c r="E342" s="255" t="str">
        <f t="shared" ref="E342:J342" si="57">E$52</f>
        <v>Corporate</v>
      </c>
      <c r="F342" s="255" t="str">
        <f t="shared" si="57"/>
        <v xml:space="preserve">Total </v>
      </c>
      <c r="G342" s="60" t="str">
        <f>G52</f>
        <v>Total</v>
      </c>
      <c r="H342" s="255" t="str">
        <f t="shared" si="57"/>
        <v>Prior Period</v>
      </c>
      <c r="I342" s="255" t="str">
        <f t="shared" si="57"/>
        <v>Over Heads</v>
      </c>
      <c r="J342" s="255" t="str">
        <f t="shared" si="57"/>
        <v>Forecast</v>
      </c>
      <c r="K342" s="60" t="str">
        <f>K$52</f>
        <v>Forecast Period</v>
      </c>
    </row>
    <row r="343" spans="1:11" s="248" customFormat="1" x14ac:dyDescent="0.2">
      <c r="A343" s="102" t="s">
        <v>170</v>
      </c>
      <c r="B343" s="128" t="s">
        <v>19</v>
      </c>
      <c r="C343" s="128" t="s">
        <v>20</v>
      </c>
      <c r="D343" s="263" t="str">
        <f>D$53</f>
        <v>Expenditures</v>
      </c>
      <c r="E343" s="263" t="str">
        <f t="shared" ref="E343:J343" si="58">E$53</f>
        <v>Overheads</v>
      </c>
      <c r="F343" s="263" t="str">
        <f t="shared" si="58"/>
        <v>CWIP Exp</v>
      </c>
      <c r="G343" s="64" t="str">
        <f>G53</f>
        <v>Plant Adds</v>
      </c>
      <c r="H343" s="263" t="str">
        <f t="shared" si="58"/>
        <v>CWIP Closed</v>
      </c>
      <c r="I343" s="263" t="str">
        <f t="shared" si="58"/>
        <v>Closed to PIS</v>
      </c>
      <c r="J343" s="263" t="str">
        <f t="shared" si="58"/>
        <v>Period CWIP</v>
      </c>
      <c r="K343" s="263" t="str">
        <f>K$53</f>
        <v>Incremental CWIP</v>
      </c>
    </row>
    <row r="344" spans="1:11" s="248" customFormat="1" x14ac:dyDescent="0.2">
      <c r="A344" s="65">
        <f>A338+1</f>
        <v>263</v>
      </c>
      <c r="B344" s="130" t="s">
        <v>9</v>
      </c>
      <c r="C344" s="262">
        <v>2013</v>
      </c>
      <c r="D344" s="252" t="s">
        <v>344</v>
      </c>
      <c r="E344" s="252" t="s">
        <v>344</v>
      </c>
      <c r="F344" s="252" t="s">
        <v>344</v>
      </c>
      <c r="G344" s="252" t="s">
        <v>344</v>
      </c>
      <c r="H344" s="252" t="s">
        <v>344</v>
      </c>
      <c r="I344" s="252" t="s">
        <v>344</v>
      </c>
      <c r="J344" s="88">
        <f>G45</f>
        <v>21116952.730378974</v>
      </c>
      <c r="K344" s="252" t="s">
        <v>344</v>
      </c>
    </row>
    <row r="345" spans="1:11" s="248" customFormat="1" x14ac:dyDescent="0.2">
      <c r="A345" s="65">
        <f>A344+1</f>
        <v>264</v>
      </c>
      <c r="B345" s="130" t="s">
        <v>10</v>
      </c>
      <c r="C345" s="262">
        <v>2014</v>
      </c>
      <c r="D345" s="261">
        <v>410482.16820000001</v>
      </c>
      <c r="E345" s="88">
        <v>30786.162615000001</v>
      </c>
      <c r="F345" s="88">
        <f>E345+D345</f>
        <v>441268.33081499999</v>
      </c>
      <c r="G345" s="261">
        <v>0</v>
      </c>
      <c r="H345" s="261">
        <v>0</v>
      </c>
      <c r="I345" s="88">
        <v>0</v>
      </c>
      <c r="J345" s="88">
        <f>J344+F345-G345-I345</f>
        <v>21558221.061193973</v>
      </c>
      <c r="K345" s="88">
        <f>J345-$J$344</f>
        <v>441268.3308149986</v>
      </c>
    </row>
    <row r="346" spans="1:11" s="248" customFormat="1" x14ac:dyDescent="0.2">
      <c r="A346" s="65">
        <f t="shared" ref="A346:A369" si="59">A345+1</f>
        <v>265</v>
      </c>
      <c r="B346" s="118" t="s">
        <v>11</v>
      </c>
      <c r="C346" s="262">
        <v>2014</v>
      </c>
      <c r="D346" s="261">
        <v>500399.73559999996</v>
      </c>
      <c r="E346" s="88">
        <v>37529.980169999995</v>
      </c>
      <c r="F346" s="88">
        <f t="shared" ref="F346:F368" si="60">E346+D346</f>
        <v>537929.71576999989</v>
      </c>
      <c r="G346" s="261">
        <v>0</v>
      </c>
      <c r="H346" s="261">
        <v>0</v>
      </c>
      <c r="I346" s="88">
        <v>0</v>
      </c>
      <c r="J346" s="88">
        <f t="shared" ref="J346:J368" si="61">J345+F346-G346-I346</f>
        <v>22096150.776963972</v>
      </c>
      <c r="K346" s="88">
        <f t="shared" ref="K346:K368" si="62">J346-$J$344</f>
        <v>979198.04658499733</v>
      </c>
    </row>
    <row r="347" spans="1:11" s="248" customFormat="1" x14ac:dyDescent="0.2">
      <c r="A347" s="65">
        <f t="shared" si="59"/>
        <v>266</v>
      </c>
      <c r="B347" s="118" t="s">
        <v>21</v>
      </c>
      <c r="C347" s="262">
        <v>2014</v>
      </c>
      <c r="D347" s="261">
        <v>787166.42974666646</v>
      </c>
      <c r="E347" s="88">
        <v>59037.48223099998</v>
      </c>
      <c r="F347" s="88">
        <f t="shared" si="60"/>
        <v>846203.91197766643</v>
      </c>
      <c r="G347" s="261">
        <v>0</v>
      </c>
      <c r="H347" s="261">
        <v>0</v>
      </c>
      <c r="I347" s="88">
        <v>0</v>
      </c>
      <c r="J347" s="88">
        <f t="shared" si="61"/>
        <v>22942354.688941639</v>
      </c>
      <c r="K347" s="88">
        <f t="shared" si="62"/>
        <v>1825401.9585626647</v>
      </c>
    </row>
    <row r="348" spans="1:11" s="248" customFormat="1" x14ac:dyDescent="0.2">
      <c r="A348" s="65">
        <f t="shared" si="59"/>
        <v>267</v>
      </c>
      <c r="B348" s="130" t="s">
        <v>12</v>
      </c>
      <c r="C348" s="262">
        <v>2014</v>
      </c>
      <c r="D348" s="261">
        <v>1061230.7809958956</v>
      </c>
      <c r="E348" s="88">
        <v>79592.308574692172</v>
      </c>
      <c r="F348" s="88">
        <f t="shared" si="60"/>
        <v>1140823.0895705877</v>
      </c>
      <c r="G348" s="261">
        <v>0</v>
      </c>
      <c r="H348" s="261">
        <v>0</v>
      </c>
      <c r="I348" s="88">
        <v>0</v>
      </c>
      <c r="J348" s="88">
        <f t="shared" si="61"/>
        <v>24083177.778512228</v>
      </c>
      <c r="K348" s="88">
        <f t="shared" si="62"/>
        <v>2966225.0481332541</v>
      </c>
    </row>
    <row r="349" spans="1:11" s="248" customFormat="1" x14ac:dyDescent="0.2">
      <c r="A349" s="65">
        <f t="shared" si="59"/>
        <v>268</v>
      </c>
      <c r="B349" s="118" t="s">
        <v>13</v>
      </c>
      <c r="C349" s="262">
        <v>2014</v>
      </c>
      <c r="D349" s="261">
        <v>1150656.1884958956</v>
      </c>
      <c r="E349" s="88">
        <v>86299.214137192161</v>
      </c>
      <c r="F349" s="88">
        <f t="shared" si="60"/>
        <v>1236955.4026330877</v>
      </c>
      <c r="G349" s="261">
        <v>0</v>
      </c>
      <c r="H349" s="261">
        <v>0</v>
      </c>
      <c r="I349" s="88">
        <v>0</v>
      </c>
      <c r="J349" s="88">
        <f t="shared" si="61"/>
        <v>25320133.181145318</v>
      </c>
      <c r="K349" s="88">
        <f t="shared" si="62"/>
        <v>4203180.4507663436</v>
      </c>
    </row>
    <row r="350" spans="1:11" s="248" customFormat="1" x14ac:dyDescent="0.2">
      <c r="A350" s="65">
        <f t="shared" si="59"/>
        <v>269</v>
      </c>
      <c r="B350" s="118" t="s">
        <v>28</v>
      </c>
      <c r="C350" s="262">
        <v>2014</v>
      </c>
      <c r="D350" s="261">
        <v>1170840.5401558955</v>
      </c>
      <c r="E350" s="88">
        <v>87813.040511692161</v>
      </c>
      <c r="F350" s="88">
        <f t="shared" si="60"/>
        <v>1258653.5806675877</v>
      </c>
      <c r="G350" s="261">
        <v>0</v>
      </c>
      <c r="H350" s="261">
        <v>0</v>
      </c>
      <c r="I350" s="88">
        <v>0</v>
      </c>
      <c r="J350" s="88">
        <f t="shared" si="61"/>
        <v>26578786.761812907</v>
      </c>
      <c r="K350" s="88">
        <f t="shared" si="62"/>
        <v>5461834.0314339325</v>
      </c>
    </row>
    <row r="351" spans="1:11" s="248" customFormat="1" x14ac:dyDescent="0.2">
      <c r="A351" s="65">
        <f t="shared" si="59"/>
        <v>270</v>
      </c>
      <c r="B351" s="130" t="s">
        <v>14</v>
      </c>
      <c r="C351" s="262">
        <v>2014</v>
      </c>
      <c r="D351" s="261">
        <v>968006.36958389566</v>
      </c>
      <c r="E351" s="88">
        <v>72600.477718792172</v>
      </c>
      <c r="F351" s="88">
        <f t="shared" si="60"/>
        <v>1040606.8473026878</v>
      </c>
      <c r="G351" s="261">
        <v>0</v>
      </c>
      <c r="H351" s="261">
        <v>0</v>
      </c>
      <c r="I351" s="88">
        <v>0</v>
      </c>
      <c r="J351" s="88">
        <f t="shared" si="61"/>
        <v>27619393.609115593</v>
      </c>
      <c r="K351" s="88">
        <f t="shared" si="62"/>
        <v>6502440.8787366189</v>
      </c>
    </row>
    <row r="352" spans="1:11" s="248" customFormat="1" x14ac:dyDescent="0.2">
      <c r="A352" s="65">
        <f t="shared" si="59"/>
        <v>271</v>
      </c>
      <c r="B352" s="118" t="s">
        <v>15</v>
      </c>
      <c r="C352" s="262">
        <v>2014</v>
      </c>
      <c r="D352" s="261">
        <v>903686.74300389562</v>
      </c>
      <c r="E352" s="88">
        <v>67776.505725292169</v>
      </c>
      <c r="F352" s="88">
        <f t="shared" si="60"/>
        <v>971463.24872918776</v>
      </c>
      <c r="G352" s="261">
        <v>0</v>
      </c>
      <c r="H352" s="261">
        <v>0</v>
      </c>
      <c r="I352" s="88">
        <v>0</v>
      </c>
      <c r="J352" s="88">
        <f t="shared" si="61"/>
        <v>28590856.857844781</v>
      </c>
      <c r="K352" s="88">
        <f t="shared" si="62"/>
        <v>7473904.1274658069</v>
      </c>
    </row>
    <row r="353" spans="1:11" s="248" customFormat="1" x14ac:dyDescent="0.2">
      <c r="A353" s="65">
        <f t="shared" si="59"/>
        <v>272</v>
      </c>
      <c r="B353" s="118" t="s">
        <v>16</v>
      </c>
      <c r="C353" s="262">
        <v>2014</v>
      </c>
      <c r="D353" s="261">
        <v>914876.05300389545</v>
      </c>
      <c r="E353" s="88">
        <v>68615.703975292156</v>
      </c>
      <c r="F353" s="88">
        <f t="shared" si="60"/>
        <v>983491.7569791876</v>
      </c>
      <c r="G353" s="261">
        <v>0</v>
      </c>
      <c r="H353" s="261">
        <v>0</v>
      </c>
      <c r="I353" s="88">
        <v>0</v>
      </c>
      <c r="J353" s="88">
        <f t="shared" si="61"/>
        <v>29574348.614823967</v>
      </c>
      <c r="K353" s="88">
        <f t="shared" si="62"/>
        <v>8457395.884444993</v>
      </c>
    </row>
    <row r="354" spans="1:11" s="248" customFormat="1" x14ac:dyDescent="0.2">
      <c r="A354" s="65">
        <f t="shared" si="59"/>
        <v>273</v>
      </c>
      <c r="B354" s="130" t="s">
        <v>18</v>
      </c>
      <c r="C354" s="262">
        <v>2014</v>
      </c>
      <c r="D354" s="261">
        <v>920018.99542389554</v>
      </c>
      <c r="E354" s="88">
        <v>69001.424656792165</v>
      </c>
      <c r="F354" s="88">
        <f t="shared" si="60"/>
        <v>989020.42008068773</v>
      </c>
      <c r="G354" s="261">
        <v>0</v>
      </c>
      <c r="H354" s="261">
        <v>0</v>
      </c>
      <c r="I354" s="88">
        <v>0</v>
      </c>
      <c r="J354" s="88">
        <f t="shared" si="61"/>
        <v>30563369.034904655</v>
      </c>
      <c r="K354" s="88">
        <f t="shared" si="62"/>
        <v>9446416.3045256808</v>
      </c>
    </row>
    <row r="355" spans="1:11" s="248" customFormat="1" x14ac:dyDescent="0.2">
      <c r="A355" s="65">
        <f t="shared" si="59"/>
        <v>274</v>
      </c>
      <c r="B355" s="130" t="s">
        <v>17</v>
      </c>
      <c r="C355" s="262">
        <v>2014</v>
      </c>
      <c r="D355" s="261">
        <v>938239.39542389556</v>
      </c>
      <c r="E355" s="88">
        <v>70367.954656792164</v>
      </c>
      <c r="F355" s="88">
        <f t="shared" si="60"/>
        <v>1008607.3500806878</v>
      </c>
      <c r="G355" s="261">
        <v>0</v>
      </c>
      <c r="H355" s="261">
        <v>0</v>
      </c>
      <c r="I355" s="88">
        <v>0</v>
      </c>
      <c r="J355" s="88">
        <f t="shared" si="61"/>
        <v>31571976.384985343</v>
      </c>
      <c r="K355" s="88">
        <f t="shared" si="62"/>
        <v>10455023.654606368</v>
      </c>
    </row>
    <row r="356" spans="1:11" s="248" customFormat="1" x14ac:dyDescent="0.2">
      <c r="A356" s="65">
        <f t="shared" si="59"/>
        <v>275</v>
      </c>
      <c r="B356" s="130" t="s">
        <v>9</v>
      </c>
      <c r="C356" s="262">
        <v>2014</v>
      </c>
      <c r="D356" s="261">
        <v>938239.39542389556</v>
      </c>
      <c r="E356" s="88">
        <v>70367.954656792164</v>
      </c>
      <c r="F356" s="88">
        <f t="shared" si="60"/>
        <v>1008607.3500806878</v>
      </c>
      <c r="G356" s="261">
        <v>0</v>
      </c>
      <c r="H356" s="261">
        <v>0</v>
      </c>
      <c r="I356" s="88">
        <v>0</v>
      </c>
      <c r="J356" s="88">
        <f t="shared" si="61"/>
        <v>32580583.73506603</v>
      </c>
      <c r="K356" s="88">
        <f t="shared" si="62"/>
        <v>11463631.004687056</v>
      </c>
    </row>
    <row r="357" spans="1:11" s="248" customFormat="1" x14ac:dyDescent="0.2">
      <c r="A357" s="65">
        <f t="shared" si="59"/>
        <v>276</v>
      </c>
      <c r="B357" s="130" t="s">
        <v>10</v>
      </c>
      <c r="C357" s="262">
        <v>2015</v>
      </c>
      <c r="D357" s="261">
        <v>1049893.3340194025</v>
      </c>
      <c r="E357" s="88">
        <v>78742.000051455179</v>
      </c>
      <c r="F357" s="88">
        <f t="shared" si="60"/>
        <v>1128635.3340708576</v>
      </c>
      <c r="G357" s="261">
        <v>0</v>
      </c>
      <c r="H357" s="261">
        <v>0</v>
      </c>
      <c r="I357" s="88">
        <v>0</v>
      </c>
      <c r="J357" s="88">
        <f t="shared" si="61"/>
        <v>33709219.069136888</v>
      </c>
      <c r="K357" s="88">
        <f t="shared" si="62"/>
        <v>12592266.338757914</v>
      </c>
    </row>
    <row r="358" spans="1:11" s="248" customFormat="1" x14ac:dyDescent="0.2">
      <c r="A358" s="65">
        <f t="shared" si="59"/>
        <v>277</v>
      </c>
      <c r="B358" s="118" t="s">
        <v>11</v>
      </c>
      <c r="C358" s="262">
        <v>2015</v>
      </c>
      <c r="D358" s="261">
        <v>5549196.9670194024</v>
      </c>
      <c r="E358" s="88">
        <v>416189.77252645517</v>
      </c>
      <c r="F358" s="88">
        <f t="shared" si="60"/>
        <v>5965386.7395458575</v>
      </c>
      <c r="G358" s="261">
        <v>0</v>
      </c>
      <c r="H358" s="261">
        <v>0</v>
      </c>
      <c r="I358" s="88">
        <v>0</v>
      </c>
      <c r="J358" s="88">
        <f t="shared" si="61"/>
        <v>39674605.808682747</v>
      </c>
      <c r="K358" s="88">
        <f t="shared" si="62"/>
        <v>18557653.078303773</v>
      </c>
    </row>
    <row r="359" spans="1:11" s="248" customFormat="1" x14ac:dyDescent="0.2">
      <c r="A359" s="65">
        <f t="shared" si="59"/>
        <v>278</v>
      </c>
      <c r="B359" s="118" t="s">
        <v>21</v>
      </c>
      <c r="C359" s="262">
        <v>2015</v>
      </c>
      <c r="D359" s="261">
        <v>5417035.9270194024</v>
      </c>
      <c r="E359" s="88">
        <v>406277.69452645519</v>
      </c>
      <c r="F359" s="88">
        <f t="shared" si="60"/>
        <v>5823313.6215458577</v>
      </c>
      <c r="G359" s="261">
        <v>0</v>
      </c>
      <c r="H359" s="261">
        <v>0</v>
      </c>
      <c r="I359" s="88">
        <v>0</v>
      </c>
      <c r="J359" s="88">
        <f t="shared" si="61"/>
        <v>45497919.430228606</v>
      </c>
      <c r="K359" s="88">
        <f t="shared" si="62"/>
        <v>24380966.699849632</v>
      </c>
    </row>
    <row r="360" spans="1:11" s="248" customFormat="1" x14ac:dyDescent="0.2">
      <c r="A360" s="65">
        <f t="shared" si="59"/>
        <v>279</v>
      </c>
      <c r="B360" s="130" t="s">
        <v>12</v>
      </c>
      <c r="C360" s="262">
        <v>2015</v>
      </c>
      <c r="D360" s="261">
        <v>1405184.2366529226</v>
      </c>
      <c r="E360" s="88">
        <v>105388.81774896919</v>
      </c>
      <c r="F360" s="88">
        <f t="shared" si="60"/>
        <v>1510573.0544018918</v>
      </c>
      <c r="G360" s="261">
        <v>0</v>
      </c>
      <c r="H360" s="261">
        <v>0</v>
      </c>
      <c r="I360" s="88">
        <v>0</v>
      </c>
      <c r="J360" s="88">
        <f t="shared" si="61"/>
        <v>47008492.484630495</v>
      </c>
      <c r="K360" s="88">
        <f t="shared" si="62"/>
        <v>25891539.754251521</v>
      </c>
    </row>
    <row r="361" spans="1:11" s="248" customFormat="1" x14ac:dyDescent="0.2">
      <c r="A361" s="65">
        <f t="shared" si="59"/>
        <v>280</v>
      </c>
      <c r="B361" s="118" t="s">
        <v>13</v>
      </c>
      <c r="C361" s="262">
        <v>2015</v>
      </c>
      <c r="D361" s="261">
        <v>1340992.9556529229</v>
      </c>
      <c r="E361" s="88">
        <v>100574.47167396921</v>
      </c>
      <c r="F361" s="88">
        <f t="shared" si="60"/>
        <v>1441567.427326892</v>
      </c>
      <c r="G361" s="261">
        <v>0</v>
      </c>
      <c r="H361" s="261">
        <v>0</v>
      </c>
      <c r="I361" s="88">
        <v>0</v>
      </c>
      <c r="J361" s="88">
        <f t="shared" si="61"/>
        <v>48450059.911957391</v>
      </c>
      <c r="K361" s="88">
        <f t="shared" si="62"/>
        <v>27333107.181578416</v>
      </c>
    </row>
    <row r="362" spans="1:11" s="248" customFormat="1" x14ac:dyDescent="0.2">
      <c r="A362" s="65">
        <f t="shared" si="59"/>
        <v>281</v>
      </c>
      <c r="B362" s="118" t="s">
        <v>28</v>
      </c>
      <c r="C362" s="262">
        <v>2015</v>
      </c>
      <c r="D362" s="261">
        <v>1304912.9556529229</v>
      </c>
      <c r="E362" s="88">
        <v>97868.471673969208</v>
      </c>
      <c r="F362" s="88">
        <f t="shared" si="60"/>
        <v>1402781.427326892</v>
      </c>
      <c r="G362" s="261">
        <v>0</v>
      </c>
      <c r="H362" s="261">
        <v>0</v>
      </c>
      <c r="I362" s="88">
        <v>0</v>
      </c>
      <c r="J362" s="88">
        <f t="shared" si="61"/>
        <v>49852841.339284286</v>
      </c>
      <c r="K362" s="88">
        <f t="shared" si="62"/>
        <v>28735888.608905312</v>
      </c>
    </row>
    <row r="363" spans="1:11" s="248" customFormat="1" x14ac:dyDescent="0.2">
      <c r="A363" s="65">
        <f t="shared" si="59"/>
        <v>282</v>
      </c>
      <c r="B363" s="130" t="s">
        <v>14</v>
      </c>
      <c r="C363" s="262">
        <v>2015</v>
      </c>
      <c r="D363" s="261">
        <v>1303136.9176529229</v>
      </c>
      <c r="E363" s="88">
        <v>97735.268823969222</v>
      </c>
      <c r="F363" s="88">
        <f t="shared" si="60"/>
        <v>1400872.1864768921</v>
      </c>
      <c r="G363" s="261">
        <v>0</v>
      </c>
      <c r="H363" s="261">
        <v>0</v>
      </c>
      <c r="I363" s="88">
        <v>0</v>
      </c>
      <c r="J363" s="88">
        <f t="shared" si="61"/>
        <v>51253713.52576118</v>
      </c>
      <c r="K363" s="88">
        <f t="shared" si="62"/>
        <v>30136760.795382205</v>
      </c>
    </row>
    <row r="364" spans="1:11" s="248" customFormat="1" x14ac:dyDescent="0.2">
      <c r="A364" s="65">
        <f t="shared" si="59"/>
        <v>283</v>
      </c>
      <c r="B364" s="118" t="s">
        <v>15</v>
      </c>
      <c r="C364" s="262">
        <v>2015</v>
      </c>
      <c r="D364" s="261">
        <v>1856472.2490372937</v>
      </c>
      <c r="E364" s="88">
        <v>139235.41867779702</v>
      </c>
      <c r="F364" s="88">
        <f t="shared" si="60"/>
        <v>1995707.6677150908</v>
      </c>
      <c r="G364" s="261">
        <v>0</v>
      </c>
      <c r="H364" s="261">
        <v>0</v>
      </c>
      <c r="I364" s="88">
        <v>0</v>
      </c>
      <c r="J364" s="88">
        <f t="shared" si="61"/>
        <v>53249421.193476267</v>
      </c>
      <c r="K364" s="88">
        <f t="shared" si="62"/>
        <v>32132468.463097293</v>
      </c>
    </row>
    <row r="365" spans="1:11" s="248" customFormat="1" x14ac:dyDescent="0.2">
      <c r="A365" s="65">
        <f t="shared" si="59"/>
        <v>284</v>
      </c>
      <c r="B365" s="118" t="s">
        <v>16</v>
      </c>
      <c r="C365" s="262">
        <v>2015</v>
      </c>
      <c r="D365" s="261">
        <v>1856472.2490372937</v>
      </c>
      <c r="E365" s="88">
        <v>139235.41867779702</v>
      </c>
      <c r="F365" s="88">
        <f t="shared" si="60"/>
        <v>1995707.6677150908</v>
      </c>
      <c r="G365" s="261">
        <v>0</v>
      </c>
      <c r="H365" s="261">
        <v>0</v>
      </c>
      <c r="I365" s="88">
        <v>0</v>
      </c>
      <c r="J365" s="88">
        <f t="shared" si="61"/>
        <v>55245128.861191355</v>
      </c>
      <c r="K365" s="88">
        <f t="shared" si="62"/>
        <v>34128176.130812377</v>
      </c>
    </row>
    <row r="366" spans="1:11" s="248" customFormat="1" x14ac:dyDescent="0.2">
      <c r="A366" s="65">
        <f t="shared" si="59"/>
        <v>285</v>
      </c>
      <c r="B366" s="118" t="s">
        <v>18</v>
      </c>
      <c r="C366" s="262">
        <v>2015</v>
      </c>
      <c r="D366" s="261">
        <v>2224037.2490372937</v>
      </c>
      <c r="E366" s="88">
        <v>166802.79367779702</v>
      </c>
      <c r="F366" s="88">
        <f t="shared" si="60"/>
        <v>2390840.0427150908</v>
      </c>
      <c r="G366" s="261">
        <v>0</v>
      </c>
      <c r="H366" s="261">
        <v>0</v>
      </c>
      <c r="I366" s="88">
        <v>0</v>
      </c>
      <c r="J366" s="88">
        <f t="shared" si="61"/>
        <v>57635968.903906442</v>
      </c>
      <c r="K366" s="88">
        <f t="shared" si="62"/>
        <v>36519016.173527464</v>
      </c>
    </row>
    <row r="367" spans="1:11" s="248" customFormat="1" x14ac:dyDescent="0.2">
      <c r="A367" s="65">
        <f t="shared" si="59"/>
        <v>286</v>
      </c>
      <c r="B367" s="118" t="s">
        <v>17</v>
      </c>
      <c r="C367" s="262">
        <v>2015</v>
      </c>
      <c r="D367" s="261">
        <v>2224037.2490372937</v>
      </c>
      <c r="E367" s="88">
        <v>166802.79367779702</v>
      </c>
      <c r="F367" s="88">
        <f t="shared" si="60"/>
        <v>2390840.0427150908</v>
      </c>
      <c r="G367" s="261">
        <v>0</v>
      </c>
      <c r="H367" s="261">
        <v>0</v>
      </c>
      <c r="I367" s="88">
        <v>0</v>
      </c>
      <c r="J367" s="88">
        <f t="shared" si="61"/>
        <v>60026808.94662153</v>
      </c>
      <c r="K367" s="88">
        <f t="shared" si="62"/>
        <v>38909856.216242552</v>
      </c>
    </row>
    <row r="368" spans="1:11" s="248" customFormat="1" x14ac:dyDescent="0.2">
      <c r="A368" s="65">
        <f t="shared" si="59"/>
        <v>287</v>
      </c>
      <c r="B368" s="118" t="s">
        <v>9</v>
      </c>
      <c r="C368" s="262">
        <v>2015</v>
      </c>
      <c r="D368" s="261">
        <v>1447627.080384145</v>
      </c>
      <c r="E368" s="88">
        <v>108572.03102881087</v>
      </c>
      <c r="F368" s="88">
        <f t="shared" si="60"/>
        <v>1556199.1114129559</v>
      </c>
      <c r="G368" s="261">
        <v>0</v>
      </c>
      <c r="H368" s="261">
        <v>0</v>
      </c>
      <c r="I368" s="88">
        <v>0</v>
      </c>
      <c r="J368" s="88">
        <f t="shared" si="61"/>
        <v>61583008.058034487</v>
      </c>
      <c r="K368" s="72">
        <f t="shared" si="62"/>
        <v>40466055.327655509</v>
      </c>
    </row>
    <row r="369" spans="1:11" s="248" customFormat="1" x14ac:dyDescent="0.2">
      <c r="A369" s="65">
        <f t="shared" si="59"/>
        <v>288</v>
      </c>
      <c r="B369"/>
      <c r="C369" s="259" t="s">
        <v>343</v>
      </c>
      <c r="D369"/>
      <c r="E369"/>
      <c r="F369"/>
      <c r="G369"/>
      <c r="H369"/>
      <c r="I369"/>
      <c r="J369"/>
      <c r="K369" s="258">
        <f>AVERAGE(K356:K368)</f>
        <v>27788260.444080848</v>
      </c>
    </row>
    <row r="370" spans="1:11" s="248" customFormat="1" x14ac:dyDescent="0.2">
      <c r="A370" s="65"/>
      <c r="B370"/>
      <c r="C370" s="259"/>
      <c r="D370"/>
      <c r="E370"/>
      <c r="F370"/>
      <c r="G370"/>
      <c r="H370"/>
      <c r="I370"/>
      <c r="J370"/>
      <c r="K370" s="258"/>
    </row>
    <row r="371" spans="1:11" s="248" customFormat="1" x14ac:dyDescent="0.2">
      <c r="B371" s="269" t="s">
        <v>352</v>
      </c>
      <c r="D371" s="268" t="s">
        <v>351</v>
      </c>
      <c r="E371" s="268"/>
      <c r="F371" s="267"/>
    </row>
    <row r="372" spans="1:11" s="248" customFormat="1" x14ac:dyDescent="0.2">
      <c r="A372" s="263"/>
      <c r="B372" s="263"/>
      <c r="C372" s="263"/>
      <c r="D372" s="263" t="s">
        <v>167</v>
      </c>
      <c r="E372" s="263" t="s">
        <v>168</v>
      </c>
      <c r="F372" s="263" t="s">
        <v>184</v>
      </c>
      <c r="G372" s="263" t="s">
        <v>185</v>
      </c>
      <c r="H372" s="263" t="s">
        <v>186</v>
      </c>
      <c r="I372" s="263" t="s">
        <v>187</v>
      </c>
      <c r="J372" s="263" t="s">
        <v>188</v>
      </c>
      <c r="K372" s="263" t="s">
        <v>350</v>
      </c>
    </row>
    <row r="373" spans="1:11" s="248" customFormat="1" ht="38.25" x14ac:dyDescent="0.2">
      <c r="D373" s="265"/>
      <c r="E373" s="264" t="s">
        <v>349</v>
      </c>
      <c r="F373" s="252" t="s">
        <v>348</v>
      </c>
      <c r="G373" s="266"/>
      <c r="H373" s="265"/>
      <c r="I373" s="264" t="s">
        <v>347</v>
      </c>
      <c r="J373" s="264" t="s">
        <v>346</v>
      </c>
      <c r="K373" s="264" t="s">
        <v>345</v>
      </c>
    </row>
    <row r="374" spans="1:11" s="248" customFormat="1" x14ac:dyDescent="0.2">
      <c r="D374" s="265"/>
      <c r="E374" s="264"/>
      <c r="F374" s="252"/>
      <c r="G374" s="127" t="str">
        <f>G51</f>
        <v>Unloaded</v>
      </c>
      <c r="H374" s="265"/>
      <c r="I374" s="264"/>
      <c r="J374" s="264"/>
      <c r="K374" s="264"/>
    </row>
    <row r="375" spans="1:11" s="248" customFormat="1" x14ac:dyDescent="0.2">
      <c r="A375" s="255"/>
      <c r="B375" s="255"/>
      <c r="C375" s="255"/>
      <c r="D375" s="255" t="str">
        <f>D$52</f>
        <v>Forecast</v>
      </c>
      <c r="E375" s="255" t="str">
        <f t="shared" ref="E375:J375" si="63">E$52</f>
        <v>Corporate</v>
      </c>
      <c r="F375" s="255" t="str">
        <f t="shared" si="63"/>
        <v xml:space="preserve">Total </v>
      </c>
      <c r="G375" s="127" t="str">
        <f>G52</f>
        <v>Total</v>
      </c>
      <c r="H375" s="255" t="str">
        <f t="shared" si="63"/>
        <v>Prior Period</v>
      </c>
      <c r="I375" s="255" t="str">
        <f t="shared" si="63"/>
        <v>Over Heads</v>
      </c>
      <c r="J375" s="255" t="str">
        <f t="shared" si="63"/>
        <v>Forecast</v>
      </c>
      <c r="K375" s="255" t="str">
        <f>K$52</f>
        <v>Forecast Period</v>
      </c>
    </row>
    <row r="376" spans="1:11" s="248" customFormat="1" x14ac:dyDescent="0.2">
      <c r="A376" s="102" t="s">
        <v>170</v>
      </c>
      <c r="B376" s="128" t="s">
        <v>19</v>
      </c>
      <c r="C376" s="128" t="s">
        <v>20</v>
      </c>
      <c r="D376" s="263" t="str">
        <f>D$53</f>
        <v>Expenditures</v>
      </c>
      <c r="E376" s="263" t="str">
        <f t="shared" ref="E376:J376" si="64">E$53</f>
        <v>Overheads</v>
      </c>
      <c r="F376" s="263" t="str">
        <f t="shared" si="64"/>
        <v>CWIP Exp</v>
      </c>
      <c r="G376" s="129" t="str">
        <f>G53</f>
        <v>Plant Adds</v>
      </c>
      <c r="H376" s="263" t="str">
        <f t="shared" si="64"/>
        <v>CWIP Closed</v>
      </c>
      <c r="I376" s="263" t="str">
        <f t="shared" si="64"/>
        <v>Closed to PIS</v>
      </c>
      <c r="J376" s="263" t="str">
        <f t="shared" si="64"/>
        <v>Period CWIP</v>
      </c>
      <c r="K376" s="263" t="str">
        <f>K$53</f>
        <v>Incremental CWIP</v>
      </c>
    </row>
    <row r="377" spans="1:11" s="248" customFormat="1" x14ac:dyDescent="0.2">
      <c r="A377" s="65">
        <f>A369+1</f>
        <v>289</v>
      </c>
      <c r="B377" s="130" t="s">
        <v>9</v>
      </c>
      <c r="C377" s="262">
        <v>2013</v>
      </c>
      <c r="D377" s="252" t="s">
        <v>344</v>
      </c>
      <c r="E377" s="252" t="s">
        <v>344</v>
      </c>
      <c r="F377" s="252" t="s">
        <v>344</v>
      </c>
      <c r="G377" s="252" t="s">
        <v>344</v>
      </c>
      <c r="H377" s="252" t="s">
        <v>344</v>
      </c>
      <c r="I377" s="252" t="s">
        <v>344</v>
      </c>
      <c r="J377" s="88">
        <v>0</v>
      </c>
      <c r="K377" s="252" t="s">
        <v>344</v>
      </c>
    </row>
    <row r="378" spans="1:11" s="248" customFormat="1" x14ac:dyDescent="0.2">
      <c r="A378" s="65">
        <f>A377+1</f>
        <v>290</v>
      </c>
      <c r="B378" s="130" t="s">
        <v>10</v>
      </c>
      <c r="C378" s="262">
        <v>2014</v>
      </c>
      <c r="D378" s="261"/>
      <c r="E378" s="88">
        <v>0</v>
      </c>
      <c r="F378" s="88">
        <f>E378+D378</f>
        <v>0</v>
      </c>
      <c r="G378" s="261"/>
      <c r="H378" s="261"/>
      <c r="I378" s="88">
        <v>0</v>
      </c>
      <c r="J378" s="88">
        <f>J377+F378-G378-I378</f>
        <v>0</v>
      </c>
      <c r="K378" s="88">
        <f>J378-$J$377</f>
        <v>0</v>
      </c>
    </row>
    <row r="379" spans="1:11" s="248" customFormat="1" x14ac:dyDescent="0.2">
      <c r="A379" s="65">
        <f t="shared" ref="A379:A402" si="65">A378+1</f>
        <v>291</v>
      </c>
      <c r="B379" s="118" t="s">
        <v>11</v>
      </c>
      <c r="C379" s="262">
        <v>2014</v>
      </c>
      <c r="D379" s="261"/>
      <c r="E379" s="88">
        <v>0</v>
      </c>
      <c r="F379" s="88">
        <f t="shared" ref="F379:F401" si="66">E379+D379</f>
        <v>0</v>
      </c>
      <c r="G379" s="261"/>
      <c r="H379" s="261"/>
      <c r="I379" s="88">
        <v>0</v>
      </c>
      <c r="J379" s="88">
        <f t="shared" ref="J379:J401" si="67">J378+F379-G379-I379</f>
        <v>0</v>
      </c>
      <c r="K379" s="88">
        <f t="shared" ref="K379:K401" si="68">J379-$J$377</f>
        <v>0</v>
      </c>
    </row>
    <row r="380" spans="1:11" s="248" customFormat="1" x14ac:dyDescent="0.2">
      <c r="A380" s="65">
        <f t="shared" si="65"/>
        <v>292</v>
      </c>
      <c r="B380" s="118" t="s">
        <v>21</v>
      </c>
      <c r="C380" s="262">
        <v>2014</v>
      </c>
      <c r="D380" s="261"/>
      <c r="E380" s="88">
        <v>0</v>
      </c>
      <c r="F380" s="88">
        <f t="shared" si="66"/>
        <v>0</v>
      </c>
      <c r="G380" s="261"/>
      <c r="H380" s="261"/>
      <c r="I380" s="88">
        <v>0</v>
      </c>
      <c r="J380" s="88">
        <f t="shared" si="67"/>
        <v>0</v>
      </c>
      <c r="K380" s="88">
        <f t="shared" si="68"/>
        <v>0</v>
      </c>
    </row>
    <row r="381" spans="1:11" s="248" customFormat="1" x14ac:dyDescent="0.2">
      <c r="A381" s="65">
        <f t="shared" si="65"/>
        <v>293</v>
      </c>
      <c r="B381" s="130" t="s">
        <v>12</v>
      </c>
      <c r="C381" s="262">
        <v>2014</v>
      </c>
      <c r="D381" s="261"/>
      <c r="E381" s="88">
        <v>0</v>
      </c>
      <c r="F381" s="88">
        <f t="shared" si="66"/>
        <v>0</v>
      </c>
      <c r="G381" s="261"/>
      <c r="H381" s="261"/>
      <c r="I381" s="88">
        <v>0</v>
      </c>
      <c r="J381" s="88">
        <f t="shared" si="67"/>
        <v>0</v>
      </c>
      <c r="K381" s="88">
        <f t="shared" si="68"/>
        <v>0</v>
      </c>
    </row>
    <row r="382" spans="1:11" s="248" customFormat="1" x14ac:dyDescent="0.2">
      <c r="A382" s="65">
        <f t="shared" si="65"/>
        <v>294</v>
      </c>
      <c r="B382" s="118" t="s">
        <v>13</v>
      </c>
      <c r="C382" s="262">
        <v>2014</v>
      </c>
      <c r="D382" s="261"/>
      <c r="E382" s="88">
        <v>0</v>
      </c>
      <c r="F382" s="88">
        <f t="shared" si="66"/>
        <v>0</v>
      </c>
      <c r="G382" s="261"/>
      <c r="H382" s="261"/>
      <c r="I382" s="88">
        <v>0</v>
      </c>
      <c r="J382" s="88">
        <f t="shared" si="67"/>
        <v>0</v>
      </c>
      <c r="K382" s="88">
        <f t="shared" si="68"/>
        <v>0</v>
      </c>
    </row>
    <row r="383" spans="1:11" s="248" customFormat="1" x14ac:dyDescent="0.2">
      <c r="A383" s="65">
        <f t="shared" si="65"/>
        <v>295</v>
      </c>
      <c r="B383" s="118" t="s">
        <v>28</v>
      </c>
      <c r="C383" s="262">
        <v>2014</v>
      </c>
      <c r="D383" s="261"/>
      <c r="E383" s="88">
        <v>0</v>
      </c>
      <c r="F383" s="88">
        <f t="shared" si="66"/>
        <v>0</v>
      </c>
      <c r="G383" s="261"/>
      <c r="H383" s="261"/>
      <c r="I383" s="88">
        <v>0</v>
      </c>
      <c r="J383" s="88">
        <f t="shared" si="67"/>
        <v>0</v>
      </c>
      <c r="K383" s="88">
        <f t="shared" si="68"/>
        <v>0</v>
      </c>
    </row>
    <row r="384" spans="1:11" s="248" customFormat="1" x14ac:dyDescent="0.2">
      <c r="A384" s="65">
        <f t="shared" si="65"/>
        <v>296</v>
      </c>
      <c r="B384" s="130" t="s">
        <v>14</v>
      </c>
      <c r="C384" s="262">
        <v>2014</v>
      </c>
      <c r="D384" s="261"/>
      <c r="E384" s="88">
        <v>0</v>
      </c>
      <c r="F384" s="88">
        <f t="shared" si="66"/>
        <v>0</v>
      </c>
      <c r="G384" s="261"/>
      <c r="H384" s="261"/>
      <c r="I384" s="88">
        <v>0</v>
      </c>
      <c r="J384" s="88">
        <f t="shared" si="67"/>
        <v>0</v>
      </c>
      <c r="K384" s="88">
        <f t="shared" si="68"/>
        <v>0</v>
      </c>
    </row>
    <row r="385" spans="1:11" s="248" customFormat="1" x14ac:dyDescent="0.2">
      <c r="A385" s="65">
        <f t="shared" si="65"/>
        <v>297</v>
      </c>
      <c r="B385" s="118" t="s">
        <v>15</v>
      </c>
      <c r="C385" s="262">
        <v>2014</v>
      </c>
      <c r="D385" s="261"/>
      <c r="E385" s="88">
        <v>0</v>
      </c>
      <c r="F385" s="88">
        <f t="shared" si="66"/>
        <v>0</v>
      </c>
      <c r="G385" s="261"/>
      <c r="H385" s="261"/>
      <c r="I385" s="88">
        <v>0</v>
      </c>
      <c r="J385" s="88">
        <f t="shared" si="67"/>
        <v>0</v>
      </c>
      <c r="K385" s="88">
        <f t="shared" si="68"/>
        <v>0</v>
      </c>
    </row>
    <row r="386" spans="1:11" s="248" customFormat="1" x14ac:dyDescent="0.2">
      <c r="A386" s="65">
        <f t="shared" si="65"/>
        <v>298</v>
      </c>
      <c r="B386" s="118" t="s">
        <v>16</v>
      </c>
      <c r="C386" s="262">
        <v>2014</v>
      </c>
      <c r="D386" s="261"/>
      <c r="E386" s="88">
        <v>0</v>
      </c>
      <c r="F386" s="88">
        <f t="shared" si="66"/>
        <v>0</v>
      </c>
      <c r="G386" s="261"/>
      <c r="H386" s="261"/>
      <c r="I386" s="88">
        <v>0</v>
      </c>
      <c r="J386" s="88">
        <f t="shared" si="67"/>
        <v>0</v>
      </c>
      <c r="K386" s="88">
        <f t="shared" si="68"/>
        <v>0</v>
      </c>
    </row>
    <row r="387" spans="1:11" s="248" customFormat="1" x14ac:dyDescent="0.2">
      <c r="A387" s="65">
        <f t="shared" si="65"/>
        <v>299</v>
      </c>
      <c r="B387" s="130" t="s">
        <v>18</v>
      </c>
      <c r="C387" s="262">
        <v>2014</v>
      </c>
      <c r="D387" s="261"/>
      <c r="E387" s="88">
        <v>0</v>
      </c>
      <c r="F387" s="88">
        <f t="shared" si="66"/>
        <v>0</v>
      </c>
      <c r="G387" s="261"/>
      <c r="H387" s="261"/>
      <c r="I387" s="88">
        <v>0</v>
      </c>
      <c r="J387" s="88">
        <f t="shared" si="67"/>
        <v>0</v>
      </c>
      <c r="K387" s="88">
        <f t="shared" si="68"/>
        <v>0</v>
      </c>
    </row>
    <row r="388" spans="1:11" s="248" customFormat="1" x14ac:dyDescent="0.2">
      <c r="A388" s="65">
        <f t="shared" si="65"/>
        <v>300</v>
      </c>
      <c r="B388" s="130" t="s">
        <v>17</v>
      </c>
      <c r="C388" s="262">
        <v>2014</v>
      </c>
      <c r="D388" s="261"/>
      <c r="E388" s="88">
        <v>0</v>
      </c>
      <c r="F388" s="88">
        <f t="shared" si="66"/>
        <v>0</v>
      </c>
      <c r="G388" s="261"/>
      <c r="H388" s="261"/>
      <c r="I388" s="88">
        <v>0</v>
      </c>
      <c r="J388" s="88">
        <f t="shared" si="67"/>
        <v>0</v>
      </c>
      <c r="K388" s="88">
        <f t="shared" si="68"/>
        <v>0</v>
      </c>
    </row>
    <row r="389" spans="1:11" s="248" customFormat="1" x14ac:dyDescent="0.2">
      <c r="A389" s="65">
        <f t="shared" si="65"/>
        <v>301</v>
      </c>
      <c r="B389" s="130" t="s">
        <v>9</v>
      </c>
      <c r="C389" s="262">
        <v>2014</v>
      </c>
      <c r="D389" s="261"/>
      <c r="E389" s="88">
        <v>0</v>
      </c>
      <c r="F389" s="88">
        <f t="shared" si="66"/>
        <v>0</v>
      </c>
      <c r="G389" s="261"/>
      <c r="H389" s="261"/>
      <c r="I389" s="88">
        <v>0</v>
      </c>
      <c r="J389" s="88">
        <f t="shared" si="67"/>
        <v>0</v>
      </c>
      <c r="K389" s="88">
        <f t="shared" si="68"/>
        <v>0</v>
      </c>
    </row>
    <row r="390" spans="1:11" s="248" customFormat="1" x14ac:dyDescent="0.2">
      <c r="A390" s="65">
        <f t="shared" si="65"/>
        <v>302</v>
      </c>
      <c r="B390" s="130" t="s">
        <v>10</v>
      </c>
      <c r="C390" s="262">
        <v>2015</v>
      </c>
      <c r="D390" s="261"/>
      <c r="E390" s="88">
        <v>0</v>
      </c>
      <c r="F390" s="88">
        <f t="shared" si="66"/>
        <v>0</v>
      </c>
      <c r="G390" s="261"/>
      <c r="H390" s="261"/>
      <c r="I390" s="88">
        <v>0</v>
      </c>
      <c r="J390" s="88">
        <f t="shared" si="67"/>
        <v>0</v>
      </c>
      <c r="K390" s="88">
        <f t="shared" si="68"/>
        <v>0</v>
      </c>
    </row>
    <row r="391" spans="1:11" s="248" customFormat="1" x14ac:dyDescent="0.2">
      <c r="A391" s="65">
        <f t="shared" si="65"/>
        <v>303</v>
      </c>
      <c r="B391" s="118" t="s">
        <v>11</v>
      </c>
      <c r="C391" s="262">
        <v>2015</v>
      </c>
      <c r="D391" s="261"/>
      <c r="E391" s="88">
        <v>0</v>
      </c>
      <c r="F391" s="88">
        <f t="shared" si="66"/>
        <v>0</v>
      </c>
      <c r="G391" s="261"/>
      <c r="H391" s="261"/>
      <c r="I391" s="88">
        <v>0</v>
      </c>
      <c r="J391" s="88">
        <f t="shared" si="67"/>
        <v>0</v>
      </c>
      <c r="K391" s="88">
        <f t="shared" si="68"/>
        <v>0</v>
      </c>
    </row>
    <row r="392" spans="1:11" s="248" customFormat="1" x14ac:dyDescent="0.2">
      <c r="A392" s="65">
        <f t="shared" si="65"/>
        <v>304</v>
      </c>
      <c r="B392" s="118" t="s">
        <v>21</v>
      </c>
      <c r="C392" s="262">
        <v>2015</v>
      </c>
      <c r="D392" s="261"/>
      <c r="E392" s="88">
        <v>0</v>
      </c>
      <c r="F392" s="88">
        <f t="shared" si="66"/>
        <v>0</v>
      </c>
      <c r="G392" s="261"/>
      <c r="H392" s="261"/>
      <c r="I392" s="88">
        <v>0</v>
      </c>
      <c r="J392" s="88">
        <f t="shared" si="67"/>
        <v>0</v>
      </c>
      <c r="K392" s="88">
        <f t="shared" si="68"/>
        <v>0</v>
      </c>
    </row>
    <row r="393" spans="1:11" s="248" customFormat="1" x14ac:dyDescent="0.2">
      <c r="A393" s="65">
        <f t="shared" si="65"/>
        <v>305</v>
      </c>
      <c r="B393" s="130" t="s">
        <v>12</v>
      </c>
      <c r="C393" s="262">
        <v>2015</v>
      </c>
      <c r="D393" s="261"/>
      <c r="E393" s="88">
        <v>0</v>
      </c>
      <c r="F393" s="88">
        <f t="shared" si="66"/>
        <v>0</v>
      </c>
      <c r="G393" s="261"/>
      <c r="H393" s="261"/>
      <c r="I393" s="88">
        <v>0</v>
      </c>
      <c r="J393" s="88">
        <f t="shared" si="67"/>
        <v>0</v>
      </c>
      <c r="K393" s="88">
        <f t="shared" si="68"/>
        <v>0</v>
      </c>
    </row>
    <row r="394" spans="1:11" s="248" customFormat="1" x14ac:dyDescent="0.2">
      <c r="A394" s="65">
        <f t="shared" si="65"/>
        <v>306</v>
      </c>
      <c r="B394" s="118" t="s">
        <v>13</v>
      </c>
      <c r="C394" s="262">
        <v>2015</v>
      </c>
      <c r="D394" s="261"/>
      <c r="E394" s="88">
        <v>0</v>
      </c>
      <c r="F394" s="88">
        <f t="shared" si="66"/>
        <v>0</v>
      </c>
      <c r="G394" s="261"/>
      <c r="H394" s="261"/>
      <c r="I394" s="88">
        <v>0</v>
      </c>
      <c r="J394" s="88">
        <f t="shared" si="67"/>
        <v>0</v>
      </c>
      <c r="K394" s="88">
        <f t="shared" si="68"/>
        <v>0</v>
      </c>
    </row>
    <row r="395" spans="1:11" s="248" customFormat="1" x14ac:dyDescent="0.2">
      <c r="A395" s="65">
        <f t="shared" si="65"/>
        <v>307</v>
      </c>
      <c r="B395" s="118" t="s">
        <v>28</v>
      </c>
      <c r="C395" s="262">
        <v>2015</v>
      </c>
      <c r="D395" s="261"/>
      <c r="E395" s="88">
        <v>0</v>
      </c>
      <c r="F395" s="88">
        <f t="shared" si="66"/>
        <v>0</v>
      </c>
      <c r="G395" s="261"/>
      <c r="H395" s="261"/>
      <c r="I395" s="88">
        <v>0</v>
      </c>
      <c r="J395" s="88">
        <f t="shared" si="67"/>
        <v>0</v>
      </c>
      <c r="K395" s="88">
        <f t="shared" si="68"/>
        <v>0</v>
      </c>
    </row>
    <row r="396" spans="1:11" s="248" customFormat="1" x14ac:dyDescent="0.2">
      <c r="A396" s="65">
        <f t="shared" si="65"/>
        <v>308</v>
      </c>
      <c r="B396" s="130" t="s">
        <v>14</v>
      </c>
      <c r="C396" s="262">
        <v>2015</v>
      </c>
      <c r="D396" s="261"/>
      <c r="E396" s="88">
        <v>0</v>
      </c>
      <c r="F396" s="88">
        <f t="shared" si="66"/>
        <v>0</v>
      </c>
      <c r="G396" s="261"/>
      <c r="H396" s="261"/>
      <c r="I396" s="88">
        <v>0</v>
      </c>
      <c r="J396" s="88">
        <f t="shared" si="67"/>
        <v>0</v>
      </c>
      <c r="K396" s="88">
        <f t="shared" si="68"/>
        <v>0</v>
      </c>
    </row>
    <row r="397" spans="1:11" s="248" customFormat="1" x14ac:dyDescent="0.2">
      <c r="A397" s="65">
        <f t="shared" si="65"/>
        <v>309</v>
      </c>
      <c r="B397" s="118" t="s">
        <v>15</v>
      </c>
      <c r="C397" s="262">
        <v>2015</v>
      </c>
      <c r="D397" s="261"/>
      <c r="E397" s="88">
        <v>0</v>
      </c>
      <c r="F397" s="88">
        <f t="shared" si="66"/>
        <v>0</v>
      </c>
      <c r="G397" s="261"/>
      <c r="H397" s="261"/>
      <c r="I397" s="88">
        <v>0</v>
      </c>
      <c r="J397" s="88">
        <f t="shared" si="67"/>
        <v>0</v>
      </c>
      <c r="K397" s="88">
        <f t="shared" si="68"/>
        <v>0</v>
      </c>
    </row>
    <row r="398" spans="1:11" s="248" customFormat="1" x14ac:dyDescent="0.2">
      <c r="A398" s="65">
        <f t="shared" si="65"/>
        <v>310</v>
      </c>
      <c r="B398" s="118" t="s">
        <v>16</v>
      </c>
      <c r="C398" s="262">
        <v>2015</v>
      </c>
      <c r="D398" s="261"/>
      <c r="E398" s="88">
        <v>0</v>
      </c>
      <c r="F398" s="88">
        <f t="shared" si="66"/>
        <v>0</v>
      </c>
      <c r="G398" s="261"/>
      <c r="H398" s="261"/>
      <c r="I398" s="88">
        <v>0</v>
      </c>
      <c r="J398" s="88">
        <f t="shared" si="67"/>
        <v>0</v>
      </c>
      <c r="K398" s="88">
        <f t="shared" si="68"/>
        <v>0</v>
      </c>
    </row>
    <row r="399" spans="1:11" s="248" customFormat="1" x14ac:dyDescent="0.2">
      <c r="A399" s="65">
        <f t="shared" si="65"/>
        <v>311</v>
      </c>
      <c r="B399" s="118" t="s">
        <v>18</v>
      </c>
      <c r="C399" s="262">
        <v>2015</v>
      </c>
      <c r="D399" s="261"/>
      <c r="E399" s="88">
        <v>0</v>
      </c>
      <c r="F399" s="88">
        <f t="shared" si="66"/>
        <v>0</v>
      </c>
      <c r="G399" s="261"/>
      <c r="H399" s="261"/>
      <c r="I399" s="88">
        <v>0</v>
      </c>
      <c r="J399" s="88">
        <f t="shared" si="67"/>
        <v>0</v>
      </c>
      <c r="K399" s="88">
        <f t="shared" si="68"/>
        <v>0</v>
      </c>
    </row>
    <row r="400" spans="1:11" s="248" customFormat="1" x14ac:dyDescent="0.2">
      <c r="A400" s="65">
        <f t="shared" si="65"/>
        <v>312</v>
      </c>
      <c r="B400" s="118" t="s">
        <v>17</v>
      </c>
      <c r="C400" s="262">
        <v>2015</v>
      </c>
      <c r="D400" s="261"/>
      <c r="E400" s="88">
        <v>0</v>
      </c>
      <c r="F400" s="88">
        <f t="shared" si="66"/>
        <v>0</v>
      </c>
      <c r="G400" s="261"/>
      <c r="H400" s="261"/>
      <c r="I400" s="88">
        <v>0</v>
      </c>
      <c r="J400" s="88">
        <f t="shared" si="67"/>
        <v>0</v>
      </c>
      <c r="K400" s="88">
        <f t="shared" si="68"/>
        <v>0</v>
      </c>
    </row>
    <row r="401" spans="1:11" s="248" customFormat="1" x14ac:dyDescent="0.2">
      <c r="A401" s="65">
        <f t="shared" si="65"/>
        <v>313</v>
      </c>
      <c r="B401" s="118" t="s">
        <v>9</v>
      </c>
      <c r="C401" s="262">
        <v>2015</v>
      </c>
      <c r="D401" s="261"/>
      <c r="E401" s="88">
        <v>0</v>
      </c>
      <c r="F401" s="88">
        <f t="shared" si="66"/>
        <v>0</v>
      </c>
      <c r="G401" s="261"/>
      <c r="H401" s="261"/>
      <c r="I401" s="88">
        <v>0</v>
      </c>
      <c r="J401" s="88">
        <f t="shared" si="67"/>
        <v>0</v>
      </c>
      <c r="K401" s="260">
        <f t="shared" si="68"/>
        <v>0</v>
      </c>
    </row>
    <row r="402" spans="1:11" s="248" customFormat="1" x14ac:dyDescent="0.2">
      <c r="A402" s="65">
        <f t="shared" si="65"/>
        <v>314</v>
      </c>
      <c r="B402"/>
      <c r="C402" s="259" t="s">
        <v>343</v>
      </c>
      <c r="H402" s="252"/>
      <c r="I402" s="252"/>
      <c r="K402" s="258">
        <f>AVERAGE(K389:K401)</f>
        <v>0</v>
      </c>
    </row>
    <row r="403" spans="1:11" s="248" customFormat="1" x14ac:dyDescent="0.2">
      <c r="A403" s="65"/>
      <c r="B403"/>
      <c r="C403" s="259"/>
      <c r="H403" s="252"/>
      <c r="I403" s="252"/>
      <c r="K403" s="258"/>
    </row>
    <row r="404" spans="1:11" s="248" customFormat="1" x14ac:dyDescent="0.2">
      <c r="A404" s="65"/>
      <c r="B404"/>
      <c r="C404" s="259"/>
      <c r="H404" s="252"/>
      <c r="I404" s="252"/>
      <c r="K404" s="258"/>
    </row>
    <row r="405" spans="1:11" s="248" customFormat="1" x14ac:dyDescent="0.2">
      <c r="A405" s="255"/>
      <c r="B405" s="74" t="s">
        <v>342</v>
      </c>
      <c r="C405"/>
      <c r="D405"/>
      <c r="E405"/>
      <c r="F405"/>
      <c r="G405"/>
      <c r="H405"/>
      <c r="I405"/>
    </row>
    <row r="406" spans="1:11" s="248" customFormat="1" x14ac:dyDescent="0.2">
      <c r="A406" s="255"/>
      <c r="B406" s="118" t="s">
        <v>341</v>
      </c>
    </row>
    <row r="407" spans="1:11" s="248" customFormat="1" x14ac:dyDescent="0.2">
      <c r="A407" s="255"/>
      <c r="B407" s="118" t="s">
        <v>340</v>
      </c>
      <c r="C407"/>
      <c r="D407"/>
      <c r="E407"/>
      <c r="F407"/>
      <c r="G407"/>
      <c r="H407"/>
      <c r="I407"/>
    </row>
    <row r="408" spans="1:11" s="248" customFormat="1" x14ac:dyDescent="0.2">
      <c r="A408" s="255"/>
      <c r="C408"/>
      <c r="D408"/>
      <c r="E408"/>
      <c r="F408"/>
      <c r="G408"/>
      <c r="H408"/>
      <c r="I408"/>
    </row>
    <row r="409" spans="1:11" s="248" customFormat="1" x14ac:dyDescent="0.2">
      <c r="A409" s="255"/>
      <c r="B409" s="56" t="s">
        <v>118</v>
      </c>
      <c r="C409"/>
      <c r="D409"/>
      <c r="E409"/>
      <c r="F409"/>
      <c r="G409"/>
      <c r="H409"/>
      <c r="I409"/>
    </row>
    <row r="410" spans="1:11" s="248" customFormat="1" x14ac:dyDescent="0.2">
      <c r="A410" s="255"/>
      <c r="B410" s="124" t="s">
        <v>339</v>
      </c>
      <c r="C410"/>
      <c r="D410"/>
      <c r="E410"/>
      <c r="F410"/>
      <c r="G410"/>
      <c r="H410"/>
      <c r="I410"/>
    </row>
    <row r="411" spans="1:11" s="248" customFormat="1" x14ac:dyDescent="0.2">
      <c r="A411" s="255"/>
      <c r="B411" s="124" t="s">
        <v>338</v>
      </c>
      <c r="C411"/>
      <c r="D411"/>
      <c r="E411"/>
      <c r="F411"/>
      <c r="G411"/>
      <c r="H411"/>
      <c r="I411"/>
    </row>
    <row r="412" spans="1:11" s="248" customFormat="1" x14ac:dyDescent="0.2">
      <c r="A412" s="255"/>
      <c r="B412" s="68" t="s">
        <v>337</v>
      </c>
      <c r="C412" s="57"/>
      <c r="D412" s="57"/>
      <c r="E412" s="57"/>
      <c r="F412" s="57"/>
      <c r="G412" s="57"/>
      <c r="H412" s="57"/>
      <c r="I412" s="57"/>
    </row>
    <row r="413" spans="1:11" s="248" customFormat="1" x14ac:dyDescent="0.2">
      <c r="A413" s="255"/>
      <c r="B413" s="70"/>
      <c r="C413" s="57"/>
      <c r="D413" s="57"/>
      <c r="E413" s="57"/>
      <c r="F413" s="57"/>
      <c r="G413" s="57"/>
      <c r="H413" s="57"/>
      <c r="I413" s="57"/>
    </row>
    <row r="414" spans="1:11" s="248" customFormat="1" x14ac:dyDescent="0.2">
      <c r="A414" s="255"/>
      <c r="B414" s="118"/>
      <c r="C414" s="257"/>
      <c r="H414" s="252"/>
      <c r="I414" s="252"/>
    </row>
    <row r="415" spans="1:11" s="248" customFormat="1" x14ac:dyDescent="0.2">
      <c r="A415" s="255"/>
      <c r="B415" s="118"/>
      <c r="C415" s="257"/>
      <c r="H415" s="252"/>
      <c r="I415" s="252"/>
    </row>
    <row r="416" spans="1:11" s="248" customFormat="1" x14ac:dyDescent="0.2">
      <c r="A416" s="255"/>
      <c r="B416" s="118"/>
      <c r="C416" s="257"/>
      <c r="H416" s="252"/>
      <c r="I416" s="252"/>
    </row>
    <row r="417" spans="1:11" s="248" customFormat="1" x14ac:dyDescent="0.2">
      <c r="A417" s="255"/>
      <c r="B417" s="118"/>
      <c r="C417" s="257"/>
      <c r="H417" s="252"/>
      <c r="I417" s="252"/>
    </row>
    <row r="418" spans="1:11" s="248" customFormat="1" x14ac:dyDescent="0.2">
      <c r="A418" s="255"/>
      <c r="B418" s="118"/>
      <c r="C418" s="257"/>
      <c r="D418" s="256"/>
      <c r="E418" s="256"/>
      <c r="F418" s="256"/>
      <c r="G418" s="256"/>
      <c r="H418" s="252"/>
      <c r="I418" s="252"/>
    </row>
    <row r="419" spans="1:11" s="248" customFormat="1" x14ac:dyDescent="0.2">
      <c r="A419" s="255"/>
      <c r="C419" s="254"/>
      <c r="D419" s="253"/>
      <c r="E419" s="253"/>
      <c r="F419" s="253"/>
      <c r="G419" s="253"/>
      <c r="H419" s="252"/>
      <c r="I419" s="252"/>
    </row>
    <row r="420" spans="1:11" s="248" customFormat="1" x14ac:dyDescent="0.2"/>
    <row r="421" spans="1:11" s="248" customFormat="1" x14ac:dyDescent="0.2">
      <c r="B421" s="74"/>
    </row>
    <row r="422" spans="1:11" s="248" customFormat="1" x14ac:dyDescent="0.2">
      <c r="B422" s="118"/>
    </row>
    <row r="423" spans="1:11" x14ac:dyDescent="0.2">
      <c r="A423" s="248"/>
      <c r="B423" s="248"/>
      <c r="C423" s="248"/>
      <c r="D423" s="248"/>
      <c r="E423" s="248"/>
      <c r="F423" s="248"/>
      <c r="G423" s="248"/>
      <c r="H423" s="248"/>
      <c r="I423" s="248"/>
      <c r="J423" s="248"/>
      <c r="K423" s="248"/>
    </row>
    <row r="424" spans="1:11" x14ac:dyDescent="0.2">
      <c r="A424" s="248"/>
      <c r="B424" s="251"/>
      <c r="C424" s="248"/>
      <c r="D424" s="248"/>
      <c r="E424" s="248"/>
      <c r="F424" s="248"/>
      <c r="G424" s="248"/>
      <c r="H424" s="248"/>
      <c r="I424" s="248"/>
      <c r="J424" s="248"/>
      <c r="K424" s="248"/>
    </row>
    <row r="425" spans="1:11" x14ac:dyDescent="0.2">
      <c r="A425" s="248"/>
      <c r="B425" s="250"/>
      <c r="C425" s="248"/>
      <c r="D425" s="248"/>
      <c r="E425" s="248"/>
      <c r="F425" s="248"/>
      <c r="G425" s="248"/>
      <c r="H425" s="248"/>
      <c r="I425" s="248"/>
      <c r="J425" s="248"/>
      <c r="K425" s="248"/>
    </row>
    <row r="426" spans="1:11" x14ac:dyDescent="0.2">
      <c r="A426" s="248"/>
      <c r="B426" s="250"/>
      <c r="C426" s="248"/>
      <c r="D426" s="248"/>
      <c r="E426" s="248"/>
      <c r="F426" s="248"/>
      <c r="G426" s="248"/>
      <c r="H426" s="248"/>
      <c r="I426" s="248"/>
      <c r="J426" s="248"/>
      <c r="K426" s="248"/>
    </row>
    <row r="427" spans="1:11" x14ac:dyDescent="0.2">
      <c r="A427" s="248"/>
      <c r="B427" s="250"/>
      <c r="C427" s="248"/>
      <c r="D427" s="248"/>
      <c r="E427" s="248"/>
      <c r="F427" s="248"/>
      <c r="G427" s="248"/>
      <c r="H427" s="248"/>
      <c r="I427" s="248"/>
      <c r="J427" s="248"/>
      <c r="K427" s="248"/>
    </row>
    <row r="428" spans="1:11" x14ac:dyDescent="0.2">
      <c r="A428" s="248"/>
      <c r="B428" s="249"/>
      <c r="C428" s="248"/>
      <c r="D428" s="248"/>
      <c r="E428" s="248"/>
      <c r="F428" s="248"/>
      <c r="G428" s="248"/>
      <c r="H428" s="248"/>
      <c r="I428" s="248"/>
      <c r="J428" s="248"/>
      <c r="K428" s="248"/>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2013 True Up TRR)&amp;RTO10 Draft Annual Update
Attachment 4
WP-Schedule 3-One Time Adj &amp; True Up Adj
Page &amp;P of &amp;N</oddHeader>
    <oddFooter>&amp;R&amp;A</oddFooter>
  </headerFooter>
  <rowBreaks count="6" manualBreakCount="6">
    <brk id="47" max="16383" man="1"/>
    <brk id="113" max="10" man="1"/>
    <brk id="177" max="10" man="1"/>
    <brk id="241" max="10" man="1"/>
    <brk id="305" max="10" man="1"/>
    <brk id="369" max="1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56" t="s">
        <v>599</v>
      </c>
    </row>
    <row r="2" spans="1:10" x14ac:dyDescent="0.2">
      <c r="A2" s="56" t="s">
        <v>600</v>
      </c>
    </row>
    <row r="3" spans="1:10" x14ac:dyDescent="0.2">
      <c r="B3" s="56"/>
      <c r="H3" s="464" t="s">
        <v>601</v>
      </c>
      <c r="I3" s="112"/>
      <c r="J3" s="465"/>
    </row>
    <row r="4" spans="1:10" x14ac:dyDescent="0.2">
      <c r="B4" s="56" t="s">
        <v>602</v>
      </c>
    </row>
    <row r="5" spans="1:10" x14ac:dyDescent="0.2">
      <c r="B5" s="466" t="s">
        <v>603</v>
      </c>
    </row>
    <row r="6" spans="1:10" x14ac:dyDescent="0.2">
      <c r="B6" s="466" t="s">
        <v>604</v>
      </c>
    </row>
    <row r="7" spans="1:10" x14ac:dyDescent="0.2">
      <c r="B7" s="467" t="s">
        <v>605</v>
      </c>
    </row>
    <row r="8" spans="1:10" x14ac:dyDescent="0.2">
      <c r="B8" s="467" t="s">
        <v>606</v>
      </c>
    </row>
    <row r="9" spans="1:10" x14ac:dyDescent="0.2">
      <c r="B9" s="467" t="s">
        <v>607</v>
      </c>
      <c r="D9" s="56"/>
      <c r="E9" s="56"/>
    </row>
    <row r="10" spans="1:10" x14ac:dyDescent="0.2">
      <c r="B10" s="466"/>
    </row>
    <row r="11" spans="1:10" x14ac:dyDescent="0.2">
      <c r="B11" s="466"/>
      <c r="C11" s="124" t="s">
        <v>608</v>
      </c>
    </row>
    <row r="12" spans="1:10" x14ac:dyDescent="0.2">
      <c r="B12" s="466"/>
      <c r="C12" s="225" t="s">
        <v>609</v>
      </c>
    </row>
    <row r="13" spans="1:10" x14ac:dyDescent="0.2">
      <c r="B13" s="466"/>
      <c r="C13" s="70" t="s">
        <v>610</v>
      </c>
      <c r="D13" s="57"/>
      <c r="E13" s="57"/>
      <c r="F13" s="57"/>
      <c r="G13" s="57"/>
      <c r="H13" s="57"/>
      <c r="I13" s="57"/>
    </row>
    <row r="14" spans="1:10" x14ac:dyDescent="0.2">
      <c r="B14" s="466"/>
      <c r="C14" s="70" t="s">
        <v>611</v>
      </c>
      <c r="D14" s="57"/>
      <c r="E14" s="57"/>
      <c r="F14" s="57"/>
      <c r="G14" s="57"/>
      <c r="H14" s="57"/>
      <c r="I14" s="57"/>
    </row>
    <row r="15" spans="1:10" x14ac:dyDescent="0.2">
      <c r="B15" s="466"/>
      <c r="C15" s="468" t="s">
        <v>612</v>
      </c>
      <c r="D15" s="57"/>
      <c r="E15" s="57"/>
      <c r="F15" s="57"/>
      <c r="G15" s="57"/>
      <c r="H15" s="57"/>
      <c r="I15" s="57"/>
    </row>
    <row r="16" spans="1:10" x14ac:dyDescent="0.2">
      <c r="B16" s="466"/>
      <c r="C16" s="70" t="s">
        <v>613</v>
      </c>
      <c r="D16" s="57"/>
      <c r="E16" s="57"/>
      <c r="F16" s="57"/>
      <c r="G16" s="57"/>
      <c r="H16" s="57"/>
      <c r="I16" s="57"/>
    </row>
    <row r="17" spans="1:10" x14ac:dyDescent="0.2">
      <c r="B17" s="466"/>
      <c r="C17" s="70" t="s">
        <v>614</v>
      </c>
      <c r="D17" s="57"/>
      <c r="E17" s="57"/>
      <c r="F17" s="57"/>
      <c r="G17" s="57"/>
      <c r="H17" s="57"/>
      <c r="I17" s="57"/>
    </row>
    <row r="18" spans="1:10" x14ac:dyDescent="0.2">
      <c r="B18" s="466"/>
      <c r="C18" s="70"/>
      <c r="D18" s="57"/>
      <c r="E18" s="57"/>
      <c r="F18" s="57"/>
      <c r="G18" s="57"/>
      <c r="H18" s="57"/>
      <c r="I18" s="57"/>
    </row>
    <row r="19" spans="1:10" x14ac:dyDescent="0.2">
      <c r="C19" s="79" t="s">
        <v>615</v>
      </c>
      <c r="D19" s="57"/>
      <c r="E19" s="57"/>
      <c r="F19" s="57"/>
      <c r="G19" s="57"/>
      <c r="H19" s="57"/>
      <c r="I19" s="57"/>
    </row>
    <row r="20" spans="1:10" x14ac:dyDescent="0.2">
      <c r="C20" s="79"/>
      <c r="D20" s="57"/>
      <c r="E20" s="101" t="s">
        <v>167</v>
      </c>
      <c r="F20" s="101" t="s">
        <v>168</v>
      </c>
      <c r="G20" s="101" t="s">
        <v>184</v>
      </c>
      <c r="H20" s="57"/>
      <c r="I20" s="57"/>
    </row>
    <row r="21" spans="1:10" x14ac:dyDescent="0.2">
      <c r="B21" s="56"/>
      <c r="C21" s="57"/>
      <c r="D21" s="57"/>
      <c r="E21" s="57"/>
      <c r="F21" s="65" t="s">
        <v>309</v>
      </c>
      <c r="G21" s="65" t="s">
        <v>381</v>
      </c>
      <c r="H21" s="57"/>
      <c r="I21" s="57"/>
    </row>
    <row r="22" spans="1:10" x14ac:dyDescent="0.2">
      <c r="B22" s="56"/>
      <c r="C22" s="57"/>
      <c r="D22" s="57"/>
      <c r="E22" s="65" t="s">
        <v>309</v>
      </c>
      <c r="F22" s="103" t="s">
        <v>616</v>
      </c>
      <c r="G22" s="65" t="s">
        <v>428</v>
      </c>
      <c r="H22" s="57"/>
      <c r="I22" s="57"/>
    </row>
    <row r="23" spans="1:10" x14ac:dyDescent="0.2">
      <c r="B23" s="56"/>
      <c r="C23" s="68"/>
      <c r="D23" s="57"/>
      <c r="E23" s="65" t="s">
        <v>617</v>
      </c>
      <c r="F23" s="65" t="s">
        <v>181</v>
      </c>
      <c r="G23" s="65" t="s">
        <v>618</v>
      </c>
      <c r="H23" s="57"/>
      <c r="I23" s="57"/>
    </row>
    <row r="24" spans="1:10" x14ac:dyDescent="0.2">
      <c r="B24" s="56"/>
      <c r="C24" s="65" t="s">
        <v>619</v>
      </c>
      <c r="D24" s="57"/>
      <c r="E24" s="65" t="s">
        <v>74</v>
      </c>
      <c r="F24" s="65" t="s">
        <v>74</v>
      </c>
      <c r="G24" s="103" t="s">
        <v>56</v>
      </c>
      <c r="H24" s="57"/>
      <c r="I24" s="57"/>
    </row>
    <row r="25" spans="1:10" x14ac:dyDescent="0.2">
      <c r="A25" s="63" t="s">
        <v>170</v>
      </c>
      <c r="B25" s="56"/>
      <c r="C25" s="101" t="s">
        <v>620</v>
      </c>
      <c r="D25" s="57"/>
      <c r="E25" s="101" t="s">
        <v>7</v>
      </c>
      <c r="F25" s="101" t="s">
        <v>7</v>
      </c>
      <c r="G25" s="101" t="s">
        <v>7</v>
      </c>
      <c r="H25" s="101" t="s">
        <v>342</v>
      </c>
      <c r="I25" s="66"/>
      <c r="J25" s="469"/>
    </row>
    <row r="26" spans="1:10" x14ac:dyDescent="0.2">
      <c r="A26" s="60">
        <v>1</v>
      </c>
      <c r="B26" s="56"/>
      <c r="C26" s="68" t="s">
        <v>621</v>
      </c>
      <c r="D26" s="57"/>
      <c r="E26" s="88">
        <v>815393483.95000005</v>
      </c>
      <c r="F26" s="88">
        <v>733964477.7506907</v>
      </c>
      <c r="G26" s="88">
        <v>-361221275.88973248</v>
      </c>
      <c r="H26" s="70" t="s">
        <v>768</v>
      </c>
      <c r="I26" s="57"/>
    </row>
    <row r="27" spans="1:10" x14ac:dyDescent="0.2">
      <c r="A27" s="60">
        <f t="shared" ref="A27:A37" si="0">A26+1</f>
        <v>2</v>
      </c>
      <c r="B27" s="56"/>
      <c r="C27" s="68" t="s">
        <v>622</v>
      </c>
      <c r="D27" s="57"/>
      <c r="E27" s="88">
        <v>1912227.5699999947</v>
      </c>
      <c r="F27" s="88">
        <v>356461038.88769233</v>
      </c>
      <c r="G27" s="88">
        <v>-1912227.570000004</v>
      </c>
      <c r="H27" s="70" t="s">
        <v>769</v>
      </c>
      <c r="I27" s="57"/>
    </row>
    <row r="28" spans="1:10" x14ac:dyDescent="0.2">
      <c r="A28" s="60">
        <f t="shared" si="0"/>
        <v>3</v>
      </c>
      <c r="B28" s="56"/>
      <c r="C28" s="68" t="s">
        <v>623</v>
      </c>
      <c r="D28" s="57"/>
      <c r="E28" s="88">
        <v>0</v>
      </c>
      <c r="F28" s="88">
        <v>90162090.025384635</v>
      </c>
      <c r="G28" s="88">
        <v>0</v>
      </c>
      <c r="H28" s="70" t="s">
        <v>770</v>
      </c>
      <c r="I28" s="57"/>
    </row>
    <row r="29" spans="1:10" x14ac:dyDescent="0.2">
      <c r="A29" s="60">
        <f t="shared" si="0"/>
        <v>4</v>
      </c>
      <c r="B29" s="56"/>
      <c r="C29" s="68" t="s">
        <v>624</v>
      </c>
      <c r="D29" s="57"/>
      <c r="E29" s="88">
        <v>0</v>
      </c>
      <c r="F29" s="88">
        <v>-5417.903076923094</v>
      </c>
      <c r="G29" s="88">
        <v>0</v>
      </c>
      <c r="H29" s="70" t="s">
        <v>771</v>
      </c>
      <c r="I29" s="57"/>
    </row>
    <row r="30" spans="1:10" x14ac:dyDescent="0.2">
      <c r="A30" s="60">
        <f t="shared" si="0"/>
        <v>5</v>
      </c>
      <c r="B30" s="56"/>
      <c r="C30" s="68" t="s">
        <v>625</v>
      </c>
      <c r="D30" s="57"/>
      <c r="E30" s="88">
        <v>10206388.680000002</v>
      </c>
      <c r="F30" s="88">
        <v>90346374.842307672</v>
      </c>
      <c r="G30" s="88">
        <v>-10206388.679999979</v>
      </c>
      <c r="H30" s="70" t="s">
        <v>772</v>
      </c>
      <c r="I30" s="57"/>
    </row>
    <row r="31" spans="1:10" x14ac:dyDescent="0.2">
      <c r="A31" s="60">
        <f t="shared" si="0"/>
        <v>6</v>
      </c>
      <c r="B31" s="56"/>
      <c r="C31" s="68" t="s">
        <v>626</v>
      </c>
      <c r="D31" s="57"/>
      <c r="E31" s="88">
        <v>21945221.93</v>
      </c>
      <c r="F31" s="88">
        <v>8561531.0453846157</v>
      </c>
      <c r="G31" s="88">
        <v>-18381183.468461573</v>
      </c>
      <c r="H31" s="70" t="s">
        <v>773</v>
      </c>
      <c r="I31" s="57"/>
    </row>
    <row r="32" spans="1:10" x14ac:dyDescent="0.2">
      <c r="A32" s="60">
        <f t="shared" si="0"/>
        <v>7</v>
      </c>
      <c r="B32" s="56"/>
      <c r="C32" s="68" t="s">
        <v>627</v>
      </c>
      <c r="D32" s="57"/>
      <c r="E32" s="88">
        <v>0</v>
      </c>
      <c r="F32" s="88">
        <v>26224813.719230764</v>
      </c>
      <c r="G32" s="88">
        <v>487057.69230769231</v>
      </c>
      <c r="H32" s="70" t="s">
        <v>774</v>
      </c>
      <c r="I32" s="57"/>
    </row>
    <row r="33" spans="1:10" x14ac:dyDescent="0.2">
      <c r="A33" s="60">
        <f t="shared" si="0"/>
        <v>8</v>
      </c>
      <c r="B33" s="56"/>
      <c r="C33" s="68" t="s">
        <v>628</v>
      </c>
      <c r="D33" s="57"/>
      <c r="E33" s="88">
        <v>22710040.250000004</v>
      </c>
      <c r="F33" s="88">
        <v>17001044.910769232</v>
      </c>
      <c r="G33" s="88">
        <v>25751092.74585294</v>
      </c>
      <c r="H33" s="70" t="s">
        <v>775</v>
      </c>
      <c r="I33" s="57"/>
    </row>
    <row r="34" spans="1:10" x14ac:dyDescent="0.2">
      <c r="A34" s="60">
        <f t="shared" si="0"/>
        <v>9</v>
      </c>
      <c r="B34" s="56"/>
      <c r="C34" s="68" t="s">
        <v>629</v>
      </c>
      <c r="D34" s="57"/>
      <c r="E34" s="88">
        <v>21116952.730378974</v>
      </c>
      <c r="F34" s="88">
        <v>17544844.048281893</v>
      </c>
      <c r="G34" s="88">
        <v>27788260.444080848</v>
      </c>
      <c r="H34" s="70" t="s">
        <v>776</v>
      </c>
      <c r="I34" s="57"/>
    </row>
    <row r="35" spans="1:10" x14ac:dyDescent="0.2">
      <c r="A35" s="60">
        <f t="shared" si="0"/>
        <v>10</v>
      </c>
      <c r="B35" s="56"/>
      <c r="C35" s="111" t="s">
        <v>235</v>
      </c>
      <c r="E35" s="470" t="s">
        <v>344</v>
      </c>
      <c r="F35" s="470" t="s">
        <v>344</v>
      </c>
      <c r="G35" s="470" t="s">
        <v>344</v>
      </c>
      <c r="H35" s="111" t="s">
        <v>235</v>
      </c>
      <c r="I35" s="57"/>
      <c r="J35" s="57"/>
    </row>
    <row r="36" spans="1:10" x14ac:dyDescent="0.2">
      <c r="A36" s="60">
        <f t="shared" si="0"/>
        <v>11</v>
      </c>
      <c r="B36" s="56"/>
      <c r="C36" s="471"/>
      <c r="E36" s="470"/>
      <c r="F36" s="470"/>
      <c r="G36" s="470"/>
      <c r="H36" s="225"/>
    </row>
    <row r="37" spans="1:10" x14ac:dyDescent="0.2">
      <c r="A37" s="60">
        <f t="shared" si="0"/>
        <v>12</v>
      </c>
      <c r="B37" s="56"/>
      <c r="D37" s="135" t="s">
        <v>630</v>
      </c>
      <c r="E37" s="275">
        <f>SUM(E26:E34)</f>
        <v>893284315.11037898</v>
      </c>
      <c r="F37" s="275">
        <f>SUM(F26:F34)</f>
        <v>1340260797.3266647</v>
      </c>
      <c r="G37" s="121">
        <f>SUM(G26:G34)</f>
        <v>-337694664.72595257</v>
      </c>
      <c r="H37" s="472"/>
    </row>
    <row r="38" spans="1:10" x14ac:dyDescent="0.2">
      <c r="B38" s="56"/>
    </row>
    <row r="39" spans="1:10" x14ac:dyDescent="0.2">
      <c r="B39" s="56"/>
      <c r="C39" s="56" t="s">
        <v>631</v>
      </c>
    </row>
    <row r="40" spans="1:10" x14ac:dyDescent="0.2">
      <c r="B40" s="56"/>
      <c r="C40" s="56"/>
    </row>
    <row r="41" spans="1:10" x14ac:dyDescent="0.2">
      <c r="B41" s="56"/>
      <c r="E41" s="64" t="s">
        <v>167</v>
      </c>
      <c r="F41" s="64" t="s">
        <v>168</v>
      </c>
      <c r="G41" s="64" t="s">
        <v>184</v>
      </c>
    </row>
    <row r="42" spans="1:10" x14ac:dyDescent="0.2">
      <c r="B42" s="56"/>
      <c r="E42" s="266" t="s">
        <v>632</v>
      </c>
      <c r="F42" s="64"/>
      <c r="G42" s="64"/>
    </row>
    <row r="43" spans="1:10" x14ac:dyDescent="0.2">
      <c r="B43" s="56"/>
      <c r="E43" s="60" t="s">
        <v>309</v>
      </c>
      <c r="F43" s="60" t="s">
        <v>633</v>
      </c>
      <c r="G43" s="60" t="s">
        <v>633</v>
      </c>
    </row>
    <row r="44" spans="1:10" x14ac:dyDescent="0.2">
      <c r="B44" s="56"/>
      <c r="E44" s="60" t="s">
        <v>619</v>
      </c>
      <c r="F44" s="60" t="s">
        <v>618</v>
      </c>
      <c r="G44" s="60" t="s">
        <v>634</v>
      </c>
    </row>
    <row r="45" spans="1:10" x14ac:dyDescent="0.2">
      <c r="B45" s="56"/>
      <c r="E45" s="64" t="s">
        <v>79</v>
      </c>
      <c r="F45" s="64" t="s">
        <v>635</v>
      </c>
      <c r="G45" s="64" t="s">
        <v>636</v>
      </c>
      <c r="H45" s="64" t="s">
        <v>342</v>
      </c>
    </row>
    <row r="46" spans="1:10" x14ac:dyDescent="0.2">
      <c r="A46" s="60">
        <f>A37+1</f>
        <v>13</v>
      </c>
      <c r="B46" s="56"/>
      <c r="C46" t="s">
        <v>637</v>
      </c>
      <c r="E46" s="463">
        <f>F46+G46</f>
        <v>169212261.06127623</v>
      </c>
      <c r="F46" s="88">
        <v>0</v>
      </c>
      <c r="G46" s="88">
        <f>H84</f>
        <v>169212261.06127623</v>
      </c>
      <c r="H46" s="225" t="str">
        <f>"Line "&amp;A84&amp;", C4"</f>
        <v>Line 37, C4</v>
      </c>
    </row>
    <row r="47" spans="1:10" x14ac:dyDescent="0.2">
      <c r="A47" s="60">
        <f>A46+1</f>
        <v>14</v>
      </c>
      <c r="B47" s="56"/>
      <c r="C47" t="s">
        <v>638</v>
      </c>
      <c r="E47" s="274">
        <f>F47+G47</f>
        <v>2088823678.3818445</v>
      </c>
      <c r="F47" s="88">
        <f>E26</f>
        <v>815393483.95000005</v>
      </c>
      <c r="G47" s="275">
        <f>F84</f>
        <v>1273430194.4318445</v>
      </c>
      <c r="H47" s="225" t="str">
        <f>"Line "&amp;A26&amp;", C1, and Line "&amp;A84&amp;", C2"</f>
        <v>Line 1, C1, and Line 37, C2</v>
      </c>
    </row>
    <row r="48" spans="1:10" x14ac:dyDescent="0.2">
      <c r="A48" s="60">
        <f>A47+1</f>
        <v>15</v>
      </c>
      <c r="B48" s="56"/>
      <c r="C48" s="124" t="s">
        <v>639</v>
      </c>
      <c r="E48" s="274">
        <f>F48+G48</f>
        <v>738786780.24147522</v>
      </c>
      <c r="F48" s="88">
        <f>E27</f>
        <v>1912227.5699999947</v>
      </c>
      <c r="G48" s="275">
        <f>G84</f>
        <v>736874552.67147517</v>
      </c>
      <c r="H48" s="225" t="str">
        <f>"Line "&amp;A27&amp;", C1, and Line "&amp;A84&amp;", C3"</f>
        <v>Line 2, C1, and Line 37, C3</v>
      </c>
    </row>
    <row r="49" spans="1:8" x14ac:dyDescent="0.2">
      <c r="A49" s="60">
        <f>A48+1</f>
        <v>16</v>
      </c>
      <c r="B49" s="56"/>
      <c r="C49" s="111" t="s">
        <v>235</v>
      </c>
      <c r="E49" s="266" t="s">
        <v>344</v>
      </c>
      <c r="F49" s="266" t="s">
        <v>344</v>
      </c>
      <c r="G49" s="266" t="s">
        <v>344</v>
      </c>
      <c r="H49" s="111" t="s">
        <v>235</v>
      </c>
    </row>
    <row r="50" spans="1:8" x14ac:dyDescent="0.2">
      <c r="A50" s="60">
        <f>A49+1</f>
        <v>17</v>
      </c>
      <c r="B50" s="56"/>
      <c r="C50" s="471"/>
      <c r="E50" s="266"/>
      <c r="F50" s="266"/>
      <c r="G50" s="266"/>
      <c r="H50" s="225"/>
    </row>
    <row r="51" spans="1:8" x14ac:dyDescent="0.2">
      <c r="A51" s="60">
        <f>A50+1</f>
        <v>18</v>
      </c>
      <c r="B51" s="56"/>
      <c r="D51" s="125" t="s">
        <v>640</v>
      </c>
      <c r="E51" s="275">
        <f>SUM(E46:E48)</f>
        <v>2996822719.6845961</v>
      </c>
      <c r="F51" s="266"/>
      <c r="G51" s="266"/>
      <c r="H51" s="225" t="s">
        <v>641</v>
      </c>
    </row>
    <row r="52" spans="1:8" x14ac:dyDescent="0.2">
      <c r="B52" s="56"/>
    </row>
    <row r="53" spans="1:8" x14ac:dyDescent="0.2">
      <c r="B53" s="56"/>
      <c r="C53" s="56" t="s">
        <v>642</v>
      </c>
    </row>
    <row r="54" spans="1:8" x14ac:dyDescent="0.2">
      <c r="B54" s="56"/>
      <c r="C54" s="56"/>
    </row>
    <row r="55" spans="1:8" x14ac:dyDescent="0.2">
      <c r="B55" s="56"/>
      <c r="C55" s="56"/>
      <c r="E55" s="64" t="s">
        <v>167</v>
      </c>
      <c r="F55" s="64" t="s">
        <v>168</v>
      </c>
      <c r="G55" s="64" t="s">
        <v>184</v>
      </c>
    </row>
    <row r="56" spans="1:8" x14ac:dyDescent="0.2">
      <c r="B56" s="56"/>
      <c r="E56" s="266" t="s">
        <v>632</v>
      </c>
      <c r="G56" s="60" t="s">
        <v>56</v>
      </c>
    </row>
    <row r="57" spans="1:8" x14ac:dyDescent="0.2">
      <c r="B57" s="56"/>
      <c r="E57" s="60" t="s">
        <v>309</v>
      </c>
      <c r="F57" s="60" t="s">
        <v>56</v>
      </c>
      <c r="G57" s="60" t="s">
        <v>634</v>
      </c>
    </row>
    <row r="58" spans="1:8" x14ac:dyDescent="0.2">
      <c r="B58" s="56"/>
      <c r="C58" s="60" t="s">
        <v>619</v>
      </c>
      <c r="E58" s="60" t="s">
        <v>619</v>
      </c>
      <c r="F58" s="60" t="s">
        <v>618</v>
      </c>
      <c r="G58" s="60" t="s">
        <v>636</v>
      </c>
    </row>
    <row r="59" spans="1:8" ht="12.75" customHeight="1" x14ac:dyDescent="0.2">
      <c r="B59" s="56"/>
      <c r="C59" s="64" t="s">
        <v>620</v>
      </c>
      <c r="E59" s="64" t="s">
        <v>79</v>
      </c>
      <c r="F59" s="64" t="s">
        <v>635</v>
      </c>
      <c r="G59" s="64" t="s">
        <v>635</v>
      </c>
      <c r="H59" s="64" t="s">
        <v>342</v>
      </c>
    </row>
    <row r="60" spans="1:8" x14ac:dyDescent="0.2">
      <c r="A60" s="60">
        <f>A51+1</f>
        <v>19</v>
      </c>
      <c r="B60" s="56"/>
      <c r="C60" t="s">
        <v>637</v>
      </c>
      <c r="E60" s="463">
        <f>F60+G60</f>
        <v>171582079.39396474</v>
      </c>
      <c r="F60" s="88">
        <v>0</v>
      </c>
      <c r="G60" s="473">
        <f>H85</f>
        <v>171582079.39396474</v>
      </c>
      <c r="H60" s="225" t="str">
        <f>"Line "&amp;A85&amp;", C4"</f>
        <v>Line 38, C4</v>
      </c>
    </row>
    <row r="61" spans="1:8" x14ac:dyDescent="0.2">
      <c r="A61" s="60">
        <f>A60+1</f>
        <v>20</v>
      </c>
      <c r="B61" s="56"/>
      <c r="C61" t="s">
        <v>638</v>
      </c>
      <c r="E61" s="463">
        <f>F61+G61</f>
        <v>1941547701.5794916</v>
      </c>
      <c r="F61" s="88">
        <f>F26</f>
        <v>733964477.7506907</v>
      </c>
      <c r="G61" s="474">
        <f>F85</f>
        <v>1207583223.8288009</v>
      </c>
      <c r="H61" s="225" t="str">
        <f>"Line "&amp;A26&amp;", C2, and Line "&amp;A85&amp;", C2"</f>
        <v>Line 1, C2, and Line 38, C2</v>
      </c>
    </row>
    <row r="62" spans="1:8" x14ac:dyDescent="0.2">
      <c r="A62" s="60">
        <f>A61+1</f>
        <v>21</v>
      </c>
      <c r="B62" s="56"/>
      <c r="C62" s="124" t="s">
        <v>643</v>
      </c>
      <c r="E62" s="274">
        <f>F62+G62</f>
        <v>666252413.04666483</v>
      </c>
      <c r="F62" s="275">
        <f>F27</f>
        <v>356461038.88769233</v>
      </c>
      <c r="G62" s="474">
        <f>G85</f>
        <v>309791374.1589725</v>
      </c>
      <c r="H62" s="225" t="str">
        <f>"Line "&amp;A27&amp;", C2, and Line "&amp;A85&amp;", C3"</f>
        <v>Line 2, C2, and Line 38, C3</v>
      </c>
    </row>
    <row r="63" spans="1:8" x14ac:dyDescent="0.2">
      <c r="A63" s="60">
        <f>A62+1</f>
        <v>22</v>
      </c>
      <c r="B63" s="56"/>
      <c r="C63" s="111" t="s">
        <v>235</v>
      </c>
      <c r="E63" s="266" t="s">
        <v>344</v>
      </c>
      <c r="F63" s="266" t="s">
        <v>344</v>
      </c>
      <c r="G63" s="266" t="s">
        <v>344</v>
      </c>
      <c r="H63" s="111" t="s">
        <v>235</v>
      </c>
    </row>
    <row r="64" spans="1:8" x14ac:dyDescent="0.2">
      <c r="A64" s="60">
        <f>A63+1</f>
        <v>23</v>
      </c>
      <c r="B64" s="56"/>
      <c r="C64" s="471"/>
      <c r="E64" s="266"/>
      <c r="F64" s="266"/>
      <c r="G64" s="266"/>
      <c r="H64" s="225"/>
    </row>
    <row r="65" spans="1:11" x14ac:dyDescent="0.2">
      <c r="A65" s="60">
        <f>A64+1</f>
        <v>24</v>
      </c>
      <c r="B65" s="56"/>
      <c r="D65" s="125" t="s">
        <v>640</v>
      </c>
      <c r="E65" s="121">
        <f>SUM(E60:E62)</f>
        <v>2779382194.0201211</v>
      </c>
      <c r="H65" s="475" t="s">
        <v>644</v>
      </c>
    </row>
    <row r="66" spans="1:11" x14ac:dyDescent="0.2">
      <c r="A66" s="60"/>
      <c r="B66" s="56"/>
      <c r="D66" s="125"/>
      <c r="E66" s="121"/>
    </row>
    <row r="67" spans="1:11" x14ac:dyDescent="0.2">
      <c r="C67" s="56" t="s">
        <v>645</v>
      </c>
    </row>
    <row r="68" spans="1:11" x14ac:dyDescent="0.2">
      <c r="E68" s="129" t="s">
        <v>167</v>
      </c>
      <c r="F68" s="129" t="s">
        <v>168</v>
      </c>
      <c r="G68" s="129" t="s">
        <v>184</v>
      </c>
      <c r="H68" s="129" t="s">
        <v>185</v>
      </c>
      <c r="I68" s="129" t="s">
        <v>186</v>
      </c>
      <c r="J68" s="129"/>
    </row>
    <row r="69" spans="1:11" x14ac:dyDescent="0.2">
      <c r="C69" s="60" t="s">
        <v>646</v>
      </c>
      <c r="E69" s="60" t="s">
        <v>647</v>
      </c>
      <c r="F69" s="476" t="str">
        <f>"L "&amp;A117&amp;" to L "&amp;A129&amp;", C3"</f>
        <v>L 53 to L 65, C3</v>
      </c>
      <c r="G69" s="476" t="str">
        <f>"L "&amp;A157&amp;" to L "&amp;A169&amp;", C3"</f>
        <v>L 79 to L 91, C3</v>
      </c>
      <c r="H69" s="476" t="str">
        <f>"L "&amp;A137&amp;" to L "&amp;A149&amp;", C3"</f>
        <v>L 66 to L 78, C3</v>
      </c>
      <c r="I69" s="112"/>
      <c r="K69" s="60"/>
    </row>
    <row r="70" spans="1:11" x14ac:dyDescent="0.2">
      <c r="C70" s="60" t="s">
        <v>20</v>
      </c>
      <c r="E70" s="60" t="s">
        <v>648</v>
      </c>
      <c r="F70" s="57"/>
      <c r="G70" s="65" t="s">
        <v>410</v>
      </c>
      <c r="H70" s="65" t="s">
        <v>649</v>
      </c>
      <c r="I70" s="169"/>
      <c r="J70" s="111"/>
      <c r="K70" s="60"/>
    </row>
    <row r="71" spans="1:11" x14ac:dyDescent="0.2">
      <c r="A71" s="63"/>
      <c r="C71" s="128" t="s">
        <v>19</v>
      </c>
      <c r="D71" s="128" t="s">
        <v>20</v>
      </c>
      <c r="E71" s="64" t="s">
        <v>636</v>
      </c>
      <c r="F71" s="101" t="s">
        <v>371</v>
      </c>
      <c r="G71" s="101" t="s">
        <v>407</v>
      </c>
      <c r="H71" s="101" t="s">
        <v>650</v>
      </c>
      <c r="I71" s="477"/>
      <c r="J71" s="64" t="s">
        <v>53</v>
      </c>
    </row>
    <row r="72" spans="1:11" x14ac:dyDescent="0.2">
      <c r="A72" s="60">
        <f>A65+1</f>
        <v>25</v>
      </c>
      <c r="C72" s="130" t="s">
        <v>9</v>
      </c>
      <c r="D72" s="478">
        <v>2012</v>
      </c>
      <c r="E72" s="479">
        <f>SUM(F72:H72)</f>
        <v>1203236497.6989357</v>
      </c>
      <c r="F72" s="480">
        <f>G117</f>
        <v>1029284599.9722825</v>
      </c>
      <c r="G72" s="480">
        <f>G157</f>
        <v>0</v>
      </c>
      <c r="H72" s="480">
        <f>G137</f>
        <v>173951897.72665322</v>
      </c>
      <c r="I72" s="111" t="s">
        <v>344</v>
      </c>
      <c r="J72" s="469" t="s">
        <v>651</v>
      </c>
    </row>
    <row r="73" spans="1:11" x14ac:dyDescent="0.2">
      <c r="A73" s="60">
        <f>A72+1</f>
        <v>26</v>
      </c>
      <c r="C73" s="130" t="s">
        <v>10</v>
      </c>
      <c r="D73" s="262">
        <v>2013</v>
      </c>
      <c r="E73" s="479">
        <f t="shared" ref="E73:E84" si="1">SUM(F73:H73)</f>
        <v>1329178872.7815683</v>
      </c>
      <c r="F73" s="480">
        <f t="shared" ref="F73:F84" si="2">G118</f>
        <v>1155621944.7770298</v>
      </c>
      <c r="G73" s="480">
        <f t="shared" ref="G73:G84" si="3">G158</f>
        <v>0</v>
      </c>
      <c r="H73" s="480">
        <f t="shared" ref="H73:H84" si="4">G138</f>
        <v>173556928.00453848</v>
      </c>
      <c r="I73" s="111" t="s">
        <v>344</v>
      </c>
      <c r="J73" s="225" t="s">
        <v>652</v>
      </c>
    </row>
    <row r="74" spans="1:11" x14ac:dyDescent="0.2">
      <c r="A74" s="60">
        <f t="shared" ref="A74:A85" si="5">A73+1</f>
        <v>27</v>
      </c>
      <c r="C74" s="118" t="s">
        <v>11</v>
      </c>
      <c r="D74" s="262">
        <v>2013</v>
      </c>
      <c r="E74" s="308">
        <f t="shared" si="1"/>
        <v>1347336894.7544832</v>
      </c>
      <c r="F74" s="480">
        <f t="shared" si="2"/>
        <v>1174174936.4720595</v>
      </c>
      <c r="G74" s="481">
        <f t="shared" si="3"/>
        <v>0</v>
      </c>
      <c r="H74" s="480">
        <f t="shared" si="4"/>
        <v>173161958.28242373</v>
      </c>
      <c r="I74" s="111" t="s">
        <v>344</v>
      </c>
      <c r="J74" s="111" t="s">
        <v>653</v>
      </c>
      <c r="K74" s="60"/>
    </row>
    <row r="75" spans="1:11" x14ac:dyDescent="0.2">
      <c r="A75" s="60">
        <f t="shared" si="5"/>
        <v>28</v>
      </c>
      <c r="C75" s="118" t="s">
        <v>21</v>
      </c>
      <c r="D75" s="262">
        <v>2013</v>
      </c>
      <c r="E75" s="308">
        <f t="shared" si="1"/>
        <v>1355548069.3245332</v>
      </c>
      <c r="F75" s="480">
        <f t="shared" si="2"/>
        <v>1179791735.6842244</v>
      </c>
      <c r="G75" s="481">
        <f t="shared" si="3"/>
        <v>2989345.08</v>
      </c>
      <c r="H75" s="480">
        <f t="shared" si="4"/>
        <v>172766988.56030896</v>
      </c>
      <c r="I75" s="111" t="s">
        <v>344</v>
      </c>
      <c r="J75" s="111"/>
      <c r="K75" s="60"/>
    </row>
    <row r="76" spans="1:11" x14ac:dyDescent="0.2">
      <c r="A76" s="60">
        <f t="shared" si="5"/>
        <v>29</v>
      </c>
      <c r="C76" s="130" t="s">
        <v>12</v>
      </c>
      <c r="D76" s="262">
        <v>2013</v>
      </c>
      <c r="E76" s="308">
        <f t="shared" si="1"/>
        <v>1361014805.9789066</v>
      </c>
      <c r="F76" s="480">
        <f t="shared" si="2"/>
        <v>1185507371.6693356</v>
      </c>
      <c r="G76" s="481">
        <f t="shared" si="3"/>
        <v>3135415.4713770002</v>
      </c>
      <c r="H76" s="480">
        <f t="shared" si="4"/>
        <v>172372018.83819422</v>
      </c>
      <c r="I76" s="111" t="s">
        <v>344</v>
      </c>
      <c r="J76" s="111"/>
      <c r="K76" s="60"/>
    </row>
    <row r="77" spans="1:11" x14ac:dyDescent="0.2">
      <c r="A77" s="60">
        <f t="shared" si="5"/>
        <v>30</v>
      </c>
      <c r="C77" s="118" t="s">
        <v>13</v>
      </c>
      <c r="D77" s="262">
        <v>2013</v>
      </c>
      <c r="E77" s="308">
        <f t="shared" si="1"/>
        <v>1358331560.7484324</v>
      </c>
      <c r="F77" s="480">
        <f t="shared" si="2"/>
        <v>1183221585.6362207</v>
      </c>
      <c r="G77" s="481">
        <f t="shared" si="3"/>
        <v>3132925.9961321666</v>
      </c>
      <c r="H77" s="480">
        <f t="shared" si="4"/>
        <v>171977049.11607948</v>
      </c>
      <c r="I77" s="111" t="s">
        <v>344</v>
      </c>
      <c r="J77" s="111"/>
      <c r="K77" s="60"/>
    </row>
    <row r="78" spans="1:11" x14ac:dyDescent="0.2">
      <c r="A78" s="60">
        <f t="shared" si="5"/>
        <v>31</v>
      </c>
      <c r="C78" s="118" t="s">
        <v>391</v>
      </c>
      <c r="D78" s="262">
        <v>2013</v>
      </c>
      <c r="E78" s="308">
        <f t="shared" si="1"/>
        <v>1793177067.6014462</v>
      </c>
      <c r="F78" s="480">
        <f t="shared" si="2"/>
        <v>1202413212.402421</v>
      </c>
      <c r="G78" s="481">
        <f t="shared" si="3"/>
        <v>419181775.80506033</v>
      </c>
      <c r="H78" s="480">
        <f t="shared" si="4"/>
        <v>171582079.39396471</v>
      </c>
      <c r="I78" s="111" t="s">
        <v>344</v>
      </c>
      <c r="J78" s="111"/>
      <c r="K78" s="60"/>
    </row>
    <row r="79" spans="1:11" x14ac:dyDescent="0.2">
      <c r="A79" s="60">
        <f t="shared" si="5"/>
        <v>32</v>
      </c>
      <c r="C79" s="130" t="s">
        <v>14</v>
      </c>
      <c r="D79" s="262">
        <v>2013</v>
      </c>
      <c r="E79" s="308">
        <f t="shared" si="1"/>
        <v>1796386857.3968086</v>
      </c>
      <c r="F79" s="480">
        <f t="shared" si="2"/>
        <v>1203046654.8262045</v>
      </c>
      <c r="G79" s="481">
        <f t="shared" si="3"/>
        <v>422153092.89875412</v>
      </c>
      <c r="H79" s="480">
        <f t="shared" si="4"/>
        <v>171187109.67184997</v>
      </c>
      <c r="I79" s="111" t="s">
        <v>344</v>
      </c>
      <c r="J79" s="111"/>
      <c r="K79" s="58"/>
    </row>
    <row r="80" spans="1:11" x14ac:dyDescent="0.2">
      <c r="A80" s="60">
        <f t="shared" si="5"/>
        <v>33</v>
      </c>
      <c r="C80" s="118" t="s">
        <v>15</v>
      </c>
      <c r="D80" s="262">
        <v>2013</v>
      </c>
      <c r="E80" s="308">
        <f t="shared" si="1"/>
        <v>1873277799.004915</v>
      </c>
      <c r="F80" s="480">
        <f t="shared" si="2"/>
        <v>1279474139.5263367</v>
      </c>
      <c r="G80" s="481">
        <f t="shared" si="3"/>
        <v>423011519.52884322</v>
      </c>
      <c r="H80" s="480">
        <f t="shared" si="4"/>
        <v>170792139.94973522</v>
      </c>
      <c r="I80" s="111" t="s">
        <v>344</v>
      </c>
      <c r="J80" s="111"/>
      <c r="K80" s="60"/>
    </row>
    <row r="81" spans="1:11" x14ac:dyDescent="0.2">
      <c r="A81" s="60">
        <f t="shared" si="5"/>
        <v>34</v>
      </c>
      <c r="C81" s="118" t="s">
        <v>16</v>
      </c>
      <c r="D81" s="262">
        <v>2013</v>
      </c>
      <c r="E81" s="308">
        <f t="shared" si="1"/>
        <v>2113619072.5142655</v>
      </c>
      <c r="F81" s="481">
        <f t="shared" si="2"/>
        <v>1277375658.2436552</v>
      </c>
      <c r="G81" s="481">
        <f t="shared" si="3"/>
        <v>665846244.04298985</v>
      </c>
      <c r="H81" s="480">
        <f t="shared" si="4"/>
        <v>170397170.22762048</v>
      </c>
      <c r="I81" s="111" t="s">
        <v>344</v>
      </c>
      <c r="J81" s="111"/>
      <c r="K81" s="60"/>
    </row>
    <row r="82" spans="1:11" x14ac:dyDescent="0.2">
      <c r="A82" s="60">
        <f t="shared" si="5"/>
        <v>35</v>
      </c>
      <c r="C82" s="130" t="s">
        <v>390</v>
      </c>
      <c r="D82" s="262">
        <v>2013</v>
      </c>
      <c r="E82" s="308">
        <f t="shared" si="1"/>
        <v>2116723920.9693434</v>
      </c>
      <c r="F82" s="481">
        <f t="shared" si="2"/>
        <v>1276599985.275703</v>
      </c>
      <c r="G82" s="481">
        <f t="shared" si="3"/>
        <v>670121735.18813479</v>
      </c>
      <c r="H82" s="480">
        <f t="shared" si="4"/>
        <v>170002200.50550571</v>
      </c>
      <c r="I82" s="111" t="s">
        <v>344</v>
      </c>
      <c r="J82" s="111"/>
      <c r="K82" s="60"/>
    </row>
    <row r="83" spans="1:11" x14ac:dyDescent="0.2">
      <c r="A83" s="60">
        <f t="shared" si="5"/>
        <v>36</v>
      </c>
      <c r="C83" s="130" t="s">
        <v>17</v>
      </c>
      <c r="D83" s="262">
        <v>2013</v>
      </c>
      <c r="E83" s="308">
        <f t="shared" si="1"/>
        <v>2129088379.0243611</v>
      </c>
      <c r="F83" s="481">
        <f t="shared" si="2"/>
        <v>1278639890.8570938</v>
      </c>
      <c r="G83" s="481">
        <f t="shared" si="3"/>
        <v>680841257.3838762</v>
      </c>
      <c r="H83" s="480">
        <f t="shared" si="4"/>
        <v>169607230.78339097</v>
      </c>
      <c r="I83" s="111" t="s">
        <v>344</v>
      </c>
      <c r="J83" s="111"/>
      <c r="K83" s="60"/>
    </row>
    <row r="84" spans="1:11" x14ac:dyDescent="0.2">
      <c r="A84" s="60">
        <f t="shared" si="5"/>
        <v>37</v>
      </c>
      <c r="C84" s="130" t="s">
        <v>9</v>
      </c>
      <c r="D84" s="262">
        <v>2013</v>
      </c>
      <c r="E84" s="482">
        <f t="shared" si="1"/>
        <v>2179517008.1645961</v>
      </c>
      <c r="F84" s="482">
        <f t="shared" si="2"/>
        <v>1273430194.4318445</v>
      </c>
      <c r="G84" s="482">
        <f t="shared" si="3"/>
        <v>736874552.67147517</v>
      </c>
      <c r="H84" s="483">
        <f t="shared" si="4"/>
        <v>169212261.06127623</v>
      </c>
      <c r="I84" s="111" t="s">
        <v>344</v>
      </c>
      <c r="J84" s="111"/>
      <c r="K84" s="60"/>
    </row>
    <row r="85" spans="1:11" x14ac:dyDescent="0.2">
      <c r="A85" s="60">
        <f t="shared" si="5"/>
        <v>38</v>
      </c>
      <c r="C85" s="130"/>
      <c r="D85" s="300" t="s">
        <v>389</v>
      </c>
      <c r="E85" s="308">
        <f>SUM(E72:E84)/13</f>
        <v>1688956677.3817382</v>
      </c>
      <c r="F85" s="308">
        <f>SUM(F72:F84)/13</f>
        <v>1207583223.8288009</v>
      </c>
      <c r="G85" s="308">
        <f>SUM(G72:G84)/13</f>
        <v>309791374.1589725</v>
      </c>
      <c r="H85" s="299">
        <f>SUM(H72:H84)/13</f>
        <v>171582079.39396474</v>
      </c>
      <c r="I85" s="79"/>
      <c r="J85" s="56"/>
      <c r="K85" s="60"/>
    </row>
    <row r="87" spans="1:11" x14ac:dyDescent="0.2">
      <c r="A87" s="60"/>
      <c r="C87" s="484" t="s">
        <v>654</v>
      </c>
      <c r="D87" s="300"/>
      <c r="E87" s="299"/>
      <c r="F87" s="299"/>
      <c r="G87" s="299"/>
      <c r="H87" s="299"/>
      <c r="I87" s="56"/>
      <c r="J87" s="56"/>
    </row>
    <row r="88" spans="1:11" x14ac:dyDescent="0.2">
      <c r="A88" s="60"/>
      <c r="C88" s="484"/>
      <c r="D88" s="300"/>
      <c r="E88" s="129" t="s">
        <v>167</v>
      </c>
      <c r="F88" s="129" t="s">
        <v>168</v>
      </c>
      <c r="G88" s="129" t="s">
        <v>184</v>
      </c>
      <c r="H88" s="299"/>
      <c r="I88" s="56"/>
      <c r="J88" s="56"/>
    </row>
    <row r="89" spans="1:11" x14ac:dyDescent="0.2">
      <c r="A89" s="60"/>
      <c r="C89" s="130"/>
      <c r="D89" s="300"/>
      <c r="G89" s="266" t="s">
        <v>655</v>
      </c>
      <c r="H89" s="299"/>
      <c r="I89" s="56"/>
      <c r="J89" s="56"/>
    </row>
    <row r="90" spans="1:11" x14ac:dyDescent="0.2">
      <c r="A90" s="60"/>
      <c r="C90" s="130"/>
      <c r="D90" s="300"/>
      <c r="E90" s="306" t="s">
        <v>656</v>
      </c>
      <c r="F90" s="299"/>
      <c r="G90" s="485" t="s">
        <v>657</v>
      </c>
      <c r="H90" s="299"/>
      <c r="I90" s="56"/>
      <c r="J90" s="56"/>
    </row>
    <row r="91" spans="1:11" x14ac:dyDescent="0.2">
      <c r="A91" s="60"/>
      <c r="C91" s="60" t="s">
        <v>646</v>
      </c>
      <c r="E91" s="306" t="s">
        <v>658</v>
      </c>
      <c r="F91" s="306" t="s">
        <v>171</v>
      </c>
      <c r="G91" s="306" t="s">
        <v>658</v>
      </c>
      <c r="H91" s="299"/>
      <c r="I91" s="56"/>
      <c r="J91" s="56"/>
    </row>
    <row r="92" spans="1:11" x14ac:dyDescent="0.2">
      <c r="A92" s="60"/>
      <c r="C92" s="60" t="s">
        <v>20</v>
      </c>
      <c r="E92" s="306" t="s">
        <v>619</v>
      </c>
      <c r="F92" s="127" t="s">
        <v>659</v>
      </c>
      <c r="G92" s="306" t="s">
        <v>619</v>
      </c>
      <c r="H92" s="299"/>
      <c r="I92" s="56"/>
      <c r="J92" s="56"/>
    </row>
    <row r="93" spans="1:11" x14ac:dyDescent="0.2">
      <c r="A93" s="60"/>
      <c r="C93" s="128" t="s">
        <v>19</v>
      </c>
      <c r="D93" s="128" t="s">
        <v>20</v>
      </c>
      <c r="E93" s="305" t="s">
        <v>660</v>
      </c>
      <c r="F93" s="64" t="s">
        <v>661</v>
      </c>
      <c r="G93" s="305" t="s">
        <v>660</v>
      </c>
      <c r="H93" s="305" t="s">
        <v>662</v>
      </c>
      <c r="I93" s="56"/>
      <c r="J93" s="56"/>
    </row>
    <row r="94" spans="1:11" ht="12.75" customHeight="1" x14ac:dyDescent="0.2">
      <c r="A94" s="60">
        <f>A85+1</f>
        <v>39</v>
      </c>
      <c r="C94" s="130" t="s">
        <v>9</v>
      </c>
      <c r="D94" s="478">
        <v>2012</v>
      </c>
      <c r="E94" s="121">
        <f t="shared" ref="E94:E106" si="6">H117+H137+H157+H176+H195+H214+H233+H252+H271+H290</f>
        <v>0</v>
      </c>
      <c r="F94" s="461">
        <v>0</v>
      </c>
      <c r="G94" s="299">
        <f>E94-F94</f>
        <v>0</v>
      </c>
      <c r="H94" s="486" t="s">
        <v>663</v>
      </c>
      <c r="I94" s="56"/>
      <c r="J94" s="121"/>
    </row>
    <row r="95" spans="1:11" x14ac:dyDescent="0.2">
      <c r="A95" s="60">
        <f>A94+1</f>
        <v>40</v>
      </c>
      <c r="C95" s="130" t="s">
        <v>10</v>
      </c>
      <c r="D95" s="262">
        <v>2013</v>
      </c>
      <c r="E95" s="121">
        <f t="shared" si="6"/>
        <v>128447891.76999998</v>
      </c>
      <c r="F95" s="461">
        <v>0</v>
      </c>
      <c r="G95" s="299">
        <f t="shared" ref="G95:G106" si="7">E95-F95</f>
        <v>128447891.76999998</v>
      </c>
      <c r="H95" s="486" t="s">
        <v>664</v>
      </c>
      <c r="I95" s="258"/>
      <c r="J95" s="121"/>
    </row>
    <row r="96" spans="1:11" x14ac:dyDescent="0.2">
      <c r="A96" s="60">
        <f t="shared" ref="A96:A107" si="8">A95+1</f>
        <v>41</v>
      </c>
      <c r="C96" s="118" t="s">
        <v>11</v>
      </c>
      <c r="D96" s="262">
        <v>2013</v>
      </c>
      <c r="E96" s="275">
        <f t="shared" si="6"/>
        <v>21054453.710000038</v>
      </c>
      <c r="F96" s="461">
        <v>0</v>
      </c>
      <c r="G96" s="308">
        <f t="shared" si="7"/>
        <v>21054453.710000038</v>
      </c>
      <c r="H96" s="486"/>
      <c r="I96" s="258"/>
      <c r="J96" s="121"/>
    </row>
    <row r="97" spans="1:10" x14ac:dyDescent="0.2">
      <c r="A97" s="60">
        <f t="shared" si="8"/>
        <v>42</v>
      </c>
      <c r="C97" s="118" t="s">
        <v>21</v>
      </c>
      <c r="D97" s="262">
        <v>2013</v>
      </c>
      <c r="E97" s="275">
        <f t="shared" si="6"/>
        <v>11187750.740000211</v>
      </c>
      <c r="F97" s="461">
        <v>0</v>
      </c>
      <c r="G97" s="308">
        <f t="shared" si="7"/>
        <v>11187750.740000211</v>
      </c>
      <c r="H97" s="299"/>
      <c r="I97" s="258"/>
      <c r="J97" s="121"/>
    </row>
    <row r="98" spans="1:10" x14ac:dyDescent="0.2">
      <c r="A98" s="60">
        <f t="shared" si="8"/>
        <v>43</v>
      </c>
      <c r="C98" s="130" t="s">
        <v>12</v>
      </c>
      <c r="D98" s="262">
        <v>2013</v>
      </c>
      <c r="E98" s="275">
        <f t="shared" si="6"/>
        <v>8685520.0999997146</v>
      </c>
      <c r="F98" s="461">
        <v>0</v>
      </c>
      <c r="G98" s="308">
        <f t="shared" si="7"/>
        <v>8685520.0999997146</v>
      </c>
      <c r="H98" s="299"/>
      <c r="I98" s="258"/>
      <c r="J98" s="121"/>
    </row>
    <row r="99" spans="1:10" x14ac:dyDescent="0.2">
      <c r="A99" s="60">
        <f t="shared" si="8"/>
        <v>44</v>
      </c>
      <c r="C99" s="118" t="s">
        <v>13</v>
      </c>
      <c r="D99" s="262">
        <v>2013</v>
      </c>
      <c r="E99" s="275">
        <f t="shared" si="6"/>
        <v>218696359.5399999</v>
      </c>
      <c r="F99" s="461">
        <v>0</v>
      </c>
      <c r="G99" s="308">
        <f t="shared" si="7"/>
        <v>218696359.5399999</v>
      </c>
      <c r="H99" s="299"/>
      <c r="I99" s="258"/>
      <c r="J99" s="121"/>
    </row>
    <row r="100" spans="1:10" x14ac:dyDescent="0.2">
      <c r="A100" s="60">
        <f t="shared" si="8"/>
        <v>45</v>
      </c>
      <c r="C100" s="118" t="s">
        <v>391</v>
      </c>
      <c r="D100" s="262">
        <v>2013</v>
      </c>
      <c r="E100" s="275">
        <f t="shared" si="6"/>
        <v>701978910.22000003</v>
      </c>
      <c r="F100" s="461">
        <v>0</v>
      </c>
      <c r="G100" s="308">
        <f t="shared" si="7"/>
        <v>701978910.22000003</v>
      </c>
      <c r="H100" s="299"/>
      <c r="I100" s="258"/>
      <c r="J100" s="121"/>
    </row>
    <row r="101" spans="1:10" x14ac:dyDescent="0.2">
      <c r="A101" s="60">
        <f t="shared" si="8"/>
        <v>46</v>
      </c>
      <c r="C101" s="130" t="s">
        <v>14</v>
      </c>
      <c r="D101" s="262">
        <v>2013</v>
      </c>
      <c r="E101" s="275">
        <f t="shared" si="6"/>
        <v>66164799.580000028</v>
      </c>
      <c r="F101" s="461">
        <v>0</v>
      </c>
      <c r="G101" s="308">
        <f t="shared" si="7"/>
        <v>66164799.580000028</v>
      </c>
      <c r="H101" s="299"/>
      <c r="I101" s="258"/>
      <c r="J101" s="121"/>
    </row>
    <row r="102" spans="1:10" x14ac:dyDescent="0.2">
      <c r="A102" s="60">
        <f t="shared" si="8"/>
        <v>47</v>
      </c>
      <c r="C102" s="118" t="s">
        <v>15</v>
      </c>
      <c r="D102" s="262">
        <v>2013</v>
      </c>
      <c r="E102" s="121">
        <f t="shared" si="6"/>
        <v>91798507.321000129</v>
      </c>
      <c r="F102" s="461">
        <v>0</v>
      </c>
      <c r="G102" s="299">
        <f t="shared" si="7"/>
        <v>91798507.321000129</v>
      </c>
      <c r="H102" s="299"/>
      <c r="I102" s="258"/>
      <c r="J102" s="121"/>
    </row>
    <row r="103" spans="1:10" x14ac:dyDescent="0.2">
      <c r="A103" s="60">
        <f t="shared" si="8"/>
        <v>48</v>
      </c>
      <c r="C103" s="118" t="s">
        <v>16</v>
      </c>
      <c r="D103" s="262">
        <v>2013</v>
      </c>
      <c r="E103" s="275">
        <f t="shared" si="6"/>
        <v>248102254.33000001</v>
      </c>
      <c r="F103" s="461">
        <v>0</v>
      </c>
      <c r="G103" s="308">
        <f t="shared" si="7"/>
        <v>248102254.33000001</v>
      </c>
      <c r="H103" s="299"/>
      <c r="I103" s="258"/>
      <c r="J103" s="121"/>
    </row>
    <row r="104" spans="1:10" x14ac:dyDescent="0.2">
      <c r="A104" s="60">
        <f t="shared" si="8"/>
        <v>49</v>
      </c>
      <c r="C104" s="130" t="s">
        <v>390</v>
      </c>
      <c r="D104" s="262">
        <v>2013</v>
      </c>
      <c r="E104" s="121">
        <f t="shared" si="6"/>
        <v>25672254.530000284</v>
      </c>
      <c r="F104" s="461">
        <v>0</v>
      </c>
      <c r="G104" s="299">
        <f t="shared" si="7"/>
        <v>25672254.530000284</v>
      </c>
      <c r="H104" s="299"/>
      <c r="I104" s="258"/>
      <c r="J104" s="121"/>
    </row>
    <row r="105" spans="1:10" x14ac:dyDescent="0.2">
      <c r="A105" s="60">
        <f t="shared" si="8"/>
        <v>50</v>
      </c>
      <c r="C105" s="130" t="s">
        <v>17</v>
      </c>
      <c r="D105" s="262">
        <v>2013</v>
      </c>
      <c r="E105" s="275">
        <f t="shared" si="6"/>
        <v>22656863.209999777</v>
      </c>
      <c r="F105" s="461">
        <v>0</v>
      </c>
      <c r="G105" s="308">
        <f t="shared" si="7"/>
        <v>22656863.209999777</v>
      </c>
      <c r="H105" s="299"/>
      <c r="I105" s="258"/>
      <c r="J105" s="121"/>
    </row>
    <row r="106" spans="1:10" x14ac:dyDescent="0.2">
      <c r="A106" s="60">
        <f t="shared" si="8"/>
        <v>51</v>
      </c>
      <c r="C106" s="130" t="s">
        <v>9</v>
      </c>
      <c r="D106" s="262">
        <v>2013</v>
      </c>
      <c r="E106" s="273">
        <f t="shared" si="6"/>
        <v>67130750.259999648</v>
      </c>
      <c r="F106" s="462">
        <v>0</v>
      </c>
      <c r="G106" s="482">
        <f t="shared" si="7"/>
        <v>67130750.259999648</v>
      </c>
      <c r="H106" s="299"/>
      <c r="I106" s="258"/>
      <c r="J106" s="121"/>
    </row>
    <row r="107" spans="1:10" x14ac:dyDescent="0.2">
      <c r="A107" s="60">
        <f t="shared" si="8"/>
        <v>52</v>
      </c>
      <c r="C107" s="130" t="s">
        <v>169</v>
      </c>
      <c r="D107" s="119"/>
      <c r="E107" s="275">
        <f>SUM(E94:E106)</f>
        <v>1611576315.3109996</v>
      </c>
      <c r="F107" s="88">
        <f t="shared" ref="F107:G107" si="9">SUM(F94:F106)</f>
        <v>0</v>
      </c>
      <c r="G107" s="275">
        <f t="shared" si="9"/>
        <v>1611576315.3109996</v>
      </c>
      <c r="H107" s="299"/>
      <c r="I107" s="258"/>
      <c r="J107" s="56"/>
    </row>
    <row r="108" spans="1:10" x14ac:dyDescent="0.2">
      <c r="A108" s="60"/>
      <c r="C108" s="130"/>
      <c r="D108" s="119"/>
      <c r="E108" s="88"/>
      <c r="F108" s="299"/>
      <c r="G108" s="299"/>
      <c r="H108" s="299"/>
      <c r="I108" s="258"/>
      <c r="J108" s="56"/>
    </row>
    <row r="110" spans="1:10" x14ac:dyDescent="0.2">
      <c r="C110" s="290" t="s">
        <v>665</v>
      </c>
    </row>
    <row r="112" spans="1:10" x14ac:dyDescent="0.2">
      <c r="C112" s="56" t="s">
        <v>666</v>
      </c>
      <c r="E112" s="129" t="s">
        <v>167</v>
      </c>
      <c r="F112" s="129" t="s">
        <v>168</v>
      </c>
      <c r="G112" s="129" t="s">
        <v>184</v>
      </c>
      <c r="H112" s="129" t="s">
        <v>185</v>
      </c>
    </row>
    <row r="113" spans="1:9" x14ac:dyDescent="0.2">
      <c r="G113" s="266" t="s">
        <v>655</v>
      </c>
      <c r="H113" s="266" t="s">
        <v>667</v>
      </c>
    </row>
    <row r="114" spans="1:9" x14ac:dyDescent="0.2">
      <c r="C114" s="60" t="s">
        <v>646</v>
      </c>
      <c r="H114" s="208" t="s">
        <v>668</v>
      </c>
    </row>
    <row r="115" spans="1:9" x14ac:dyDescent="0.2">
      <c r="C115" s="60" t="s">
        <v>20</v>
      </c>
      <c r="E115" s="60" t="s">
        <v>517</v>
      </c>
      <c r="F115" s="60" t="s">
        <v>669</v>
      </c>
      <c r="G115" s="60" t="s">
        <v>436</v>
      </c>
      <c r="H115" s="60" t="s">
        <v>670</v>
      </c>
    </row>
    <row r="116" spans="1:9" x14ac:dyDescent="0.2">
      <c r="C116" s="128" t="s">
        <v>19</v>
      </c>
      <c r="D116" s="128" t="s">
        <v>20</v>
      </c>
      <c r="E116" s="64" t="s">
        <v>671</v>
      </c>
      <c r="F116" s="64" t="s">
        <v>429</v>
      </c>
      <c r="G116" s="64" t="s">
        <v>636</v>
      </c>
      <c r="H116" s="64" t="s">
        <v>661</v>
      </c>
    </row>
    <row r="117" spans="1:9" x14ac:dyDescent="0.2">
      <c r="A117" s="60">
        <f>A107+1</f>
        <v>53</v>
      </c>
      <c r="C117" s="130" t="s">
        <v>9</v>
      </c>
      <c r="D117" s="478">
        <v>2012</v>
      </c>
      <c r="E117" s="261">
        <v>1067168105.0662147</v>
      </c>
      <c r="F117" s="261">
        <v>37883505.093932204</v>
      </c>
      <c r="G117" s="121">
        <f t="shared" ref="G117:G129" si="10">E117-F117</f>
        <v>1029284599.9722825</v>
      </c>
      <c r="H117" s="121">
        <f>E117-E117</f>
        <v>0</v>
      </c>
      <c r="I117" s="487"/>
    </row>
    <row r="118" spans="1:9" x14ac:dyDescent="0.2">
      <c r="A118" s="60">
        <f>A117+1</f>
        <v>54</v>
      </c>
      <c r="C118" s="130" t="s">
        <v>10</v>
      </c>
      <c r="D118" s="262">
        <v>2013</v>
      </c>
      <c r="E118" s="261">
        <v>1195743179.9562147</v>
      </c>
      <c r="F118" s="261">
        <v>40121235.179184943</v>
      </c>
      <c r="G118" s="121">
        <f t="shared" si="10"/>
        <v>1155621944.7770298</v>
      </c>
      <c r="H118" s="121">
        <f>E118-E117</f>
        <v>128575074.88999999</v>
      </c>
    </row>
    <row r="119" spans="1:9" x14ac:dyDescent="0.2">
      <c r="A119" s="60">
        <f t="shared" ref="A119:A129" si="11">A118+1</f>
        <v>55</v>
      </c>
      <c r="C119" s="118" t="s">
        <v>11</v>
      </c>
      <c r="D119" s="262">
        <v>2013</v>
      </c>
      <c r="E119" s="261">
        <v>1216797633.6662147</v>
      </c>
      <c r="F119" s="261">
        <v>42622697.194155119</v>
      </c>
      <c r="G119" s="275">
        <f t="shared" si="10"/>
        <v>1174174936.4720595</v>
      </c>
      <c r="H119" s="121">
        <f t="shared" ref="H119:H129" si="12">E119-E118</f>
        <v>21054453.710000038</v>
      </c>
    </row>
    <row r="120" spans="1:9" ht="13.5" thickBot="1" x14ac:dyDescent="0.25">
      <c r="A120" s="60">
        <f t="shared" si="11"/>
        <v>56</v>
      </c>
      <c r="C120" s="118" t="s">
        <v>21</v>
      </c>
      <c r="D120" s="262">
        <v>2013</v>
      </c>
      <c r="E120" s="286">
        <v>1224960543.6962149</v>
      </c>
      <c r="F120" s="261">
        <v>45168808.011990443</v>
      </c>
      <c r="G120" s="121">
        <f t="shared" si="10"/>
        <v>1179791735.6842244</v>
      </c>
      <c r="H120" s="121">
        <f t="shared" si="12"/>
        <v>8162910.0300002098</v>
      </c>
    </row>
    <row r="121" spans="1:9" ht="13.5" thickBot="1" x14ac:dyDescent="0.25">
      <c r="A121" s="60">
        <f t="shared" si="11"/>
        <v>57</v>
      </c>
      <c r="C121" s="130" t="s">
        <v>12</v>
      </c>
      <c r="D121" s="282">
        <v>2013</v>
      </c>
      <c r="E121" s="284">
        <v>1233239101.4962146</v>
      </c>
      <c r="F121" s="261">
        <v>47731729.826879114</v>
      </c>
      <c r="G121" s="121">
        <f t="shared" si="10"/>
        <v>1185507371.6693356</v>
      </c>
      <c r="H121" s="121">
        <f t="shared" si="12"/>
        <v>8278557.7999997139</v>
      </c>
    </row>
    <row r="122" spans="1:9" x14ac:dyDescent="0.2">
      <c r="A122" s="60">
        <f t="shared" si="11"/>
        <v>58</v>
      </c>
      <c r="C122" s="118" t="s">
        <v>13</v>
      </c>
      <c r="D122" s="262">
        <v>2013</v>
      </c>
      <c r="E122" s="261">
        <v>1233533795.0762146</v>
      </c>
      <c r="F122" s="261">
        <v>50312209.439993858</v>
      </c>
      <c r="G122" s="121">
        <f t="shared" si="10"/>
        <v>1183221585.6362207</v>
      </c>
      <c r="H122" s="121">
        <f t="shared" si="12"/>
        <v>294693.57999992371</v>
      </c>
    </row>
    <row r="123" spans="1:9" x14ac:dyDescent="0.2">
      <c r="A123" s="60">
        <f t="shared" si="11"/>
        <v>59</v>
      </c>
      <c r="C123" s="118" t="s">
        <v>391</v>
      </c>
      <c r="D123" s="262">
        <v>2013</v>
      </c>
      <c r="E123" s="261">
        <v>1255306503.7062147</v>
      </c>
      <c r="F123" s="261">
        <v>52893291.303793781</v>
      </c>
      <c r="G123" s="121">
        <f t="shared" si="10"/>
        <v>1202413212.402421</v>
      </c>
      <c r="H123" s="121">
        <f t="shared" si="12"/>
        <v>21772708.630000114</v>
      </c>
    </row>
    <row r="124" spans="1:9" x14ac:dyDescent="0.2">
      <c r="A124" s="60">
        <f t="shared" si="11"/>
        <v>60</v>
      </c>
      <c r="C124" s="130" t="s">
        <v>14</v>
      </c>
      <c r="D124" s="262">
        <v>2013</v>
      </c>
      <c r="E124" s="261">
        <v>1258567617.9662147</v>
      </c>
      <c r="F124" s="261">
        <v>55520963.140010186</v>
      </c>
      <c r="G124" s="121">
        <f t="shared" si="10"/>
        <v>1203046654.8262045</v>
      </c>
      <c r="H124" s="121">
        <f t="shared" si="12"/>
        <v>3261114.2599999905</v>
      </c>
    </row>
    <row r="125" spans="1:9" ht="13.5" thickBot="1" x14ac:dyDescent="0.25">
      <c r="A125" s="60">
        <f t="shared" si="11"/>
        <v>61</v>
      </c>
      <c r="C125" s="118" t="s">
        <v>15</v>
      </c>
      <c r="D125" s="262">
        <v>2013</v>
      </c>
      <c r="E125" s="261">
        <v>1337629787.5672147</v>
      </c>
      <c r="F125" s="286">
        <v>58155648.040878177</v>
      </c>
      <c r="G125" s="121">
        <f t="shared" si="10"/>
        <v>1279474139.5263367</v>
      </c>
      <c r="H125" s="121">
        <f t="shared" si="12"/>
        <v>79062169.601000071</v>
      </c>
    </row>
    <row r="126" spans="1:9" x14ac:dyDescent="0.2">
      <c r="A126" s="60">
        <f t="shared" si="11"/>
        <v>62</v>
      </c>
      <c r="C126" s="118" t="s">
        <v>16</v>
      </c>
      <c r="D126" s="262">
        <v>2013</v>
      </c>
      <c r="E126" s="281">
        <v>1338327285.9072149</v>
      </c>
      <c r="F126" s="285">
        <v>60951627.663559675</v>
      </c>
      <c r="G126" s="275">
        <f t="shared" si="10"/>
        <v>1277375658.2436552</v>
      </c>
      <c r="H126" s="121">
        <f t="shared" si="12"/>
        <v>697498.34000015259</v>
      </c>
    </row>
    <row r="127" spans="1:9" x14ac:dyDescent="0.2">
      <c r="A127" s="60">
        <f t="shared" si="11"/>
        <v>63</v>
      </c>
      <c r="C127" s="130" t="s">
        <v>390</v>
      </c>
      <c r="D127" s="262">
        <v>2013</v>
      </c>
      <c r="E127" s="281">
        <v>1340350983.7172151</v>
      </c>
      <c r="F127" s="281">
        <v>63750998.441512153</v>
      </c>
      <c r="G127" s="275">
        <f t="shared" si="10"/>
        <v>1276599985.275703</v>
      </c>
      <c r="H127" s="121">
        <f t="shared" si="12"/>
        <v>2023697.8100001812</v>
      </c>
    </row>
    <row r="128" spans="1:9" x14ac:dyDescent="0.2">
      <c r="A128" s="60">
        <f t="shared" si="11"/>
        <v>64</v>
      </c>
      <c r="C128" s="130" t="s">
        <v>17</v>
      </c>
      <c r="D128" s="262">
        <v>2013</v>
      </c>
      <c r="E128" s="281">
        <v>1345194824.1972148</v>
      </c>
      <c r="F128" s="281">
        <v>66554933.340121143</v>
      </c>
      <c r="G128" s="275">
        <f t="shared" si="10"/>
        <v>1278639890.8570938</v>
      </c>
      <c r="H128" s="121">
        <f t="shared" si="12"/>
        <v>4843840.4799997807</v>
      </c>
    </row>
    <row r="129" spans="1:8" ht="13.5" thickBot="1" x14ac:dyDescent="0.25">
      <c r="A129" s="60">
        <f t="shared" si="11"/>
        <v>65</v>
      </c>
      <c r="C129" s="130" t="s">
        <v>9</v>
      </c>
      <c r="D129" s="262">
        <v>2013</v>
      </c>
      <c r="E129" s="281">
        <v>1342796296.6172144</v>
      </c>
      <c r="F129" s="277">
        <v>69366102.185369894</v>
      </c>
      <c r="G129" s="275">
        <f t="shared" si="10"/>
        <v>1273430194.4318445</v>
      </c>
      <c r="H129" s="121">
        <f t="shared" si="12"/>
        <v>-2398527.5800004005</v>
      </c>
    </row>
    <row r="130" spans="1:8" x14ac:dyDescent="0.2">
      <c r="A130" s="60"/>
      <c r="C130" s="130"/>
      <c r="D130" s="119"/>
    </row>
    <row r="132" spans="1:8" x14ac:dyDescent="0.2">
      <c r="C132" s="290" t="s">
        <v>672</v>
      </c>
      <c r="E132" s="129" t="s">
        <v>167</v>
      </c>
      <c r="F132" s="129" t="s">
        <v>168</v>
      </c>
      <c r="G132" s="129" t="s">
        <v>184</v>
      </c>
      <c r="H132" s="129" t="s">
        <v>185</v>
      </c>
    </row>
    <row r="133" spans="1:8" x14ac:dyDescent="0.2">
      <c r="G133" s="266" t="s">
        <v>655</v>
      </c>
      <c r="H133" s="266" t="s">
        <v>667</v>
      </c>
    </row>
    <row r="134" spans="1:8" x14ac:dyDescent="0.2">
      <c r="C134" s="60" t="s">
        <v>646</v>
      </c>
      <c r="H134" s="208" t="s">
        <v>668</v>
      </c>
    </row>
    <row r="135" spans="1:8" x14ac:dyDescent="0.2">
      <c r="C135" s="60" t="s">
        <v>20</v>
      </c>
      <c r="E135" s="60" t="s">
        <v>517</v>
      </c>
      <c r="F135" s="60" t="s">
        <v>669</v>
      </c>
      <c r="G135" s="60" t="s">
        <v>436</v>
      </c>
      <c r="H135" s="60" t="s">
        <v>670</v>
      </c>
    </row>
    <row r="136" spans="1:8" x14ac:dyDescent="0.2">
      <c r="C136" s="128" t="s">
        <v>19</v>
      </c>
      <c r="D136" s="128" t="s">
        <v>20</v>
      </c>
      <c r="E136" s="64" t="s">
        <v>671</v>
      </c>
      <c r="F136" s="64" t="s">
        <v>429</v>
      </c>
      <c r="G136" s="64" t="s">
        <v>636</v>
      </c>
      <c r="H136" s="64" t="s">
        <v>661</v>
      </c>
    </row>
    <row r="137" spans="1:8" x14ac:dyDescent="0.2">
      <c r="A137" s="60">
        <f>A129+1</f>
        <v>66</v>
      </c>
      <c r="C137" s="130" t="s">
        <v>9</v>
      </c>
      <c r="D137" s="478">
        <v>2012</v>
      </c>
      <c r="E137" s="261">
        <v>191523855.31999996</v>
      </c>
      <c r="F137" s="261">
        <v>17571957.593346741</v>
      </c>
      <c r="G137" s="121">
        <f>E137-F137</f>
        <v>173951897.72665322</v>
      </c>
      <c r="H137" s="121">
        <f>E137-E137</f>
        <v>0</v>
      </c>
    </row>
    <row r="138" spans="1:8" x14ac:dyDescent="0.2">
      <c r="A138" s="60">
        <f>A137+1</f>
        <v>67</v>
      </c>
      <c r="C138" s="130" t="s">
        <v>10</v>
      </c>
      <c r="D138" s="262">
        <v>2013</v>
      </c>
      <c r="E138" s="261">
        <v>191523855.31999996</v>
      </c>
      <c r="F138" s="261">
        <v>17966927.31546149</v>
      </c>
      <c r="G138" s="121">
        <f t="shared" ref="G138:G149" si="13">E138-F138</f>
        <v>173556928.00453848</v>
      </c>
      <c r="H138" s="121">
        <f>E138-E137</f>
        <v>0</v>
      </c>
    </row>
    <row r="139" spans="1:8" x14ac:dyDescent="0.2">
      <c r="A139" s="60">
        <f t="shared" ref="A139:A149" si="14">A138+1</f>
        <v>68</v>
      </c>
      <c r="C139" s="118" t="s">
        <v>11</v>
      </c>
      <c r="D139" s="262">
        <v>2013</v>
      </c>
      <c r="E139" s="261">
        <v>191523855.31999996</v>
      </c>
      <c r="F139" s="261">
        <v>18361897.037576243</v>
      </c>
      <c r="G139" s="121">
        <f t="shared" si="13"/>
        <v>173161958.28242373</v>
      </c>
      <c r="H139" s="121">
        <f t="shared" ref="H139:H149" si="15">E139-E138</f>
        <v>0</v>
      </c>
    </row>
    <row r="140" spans="1:8" x14ac:dyDescent="0.2">
      <c r="A140" s="60">
        <f t="shared" si="14"/>
        <v>69</v>
      </c>
      <c r="C140" s="118" t="s">
        <v>21</v>
      </c>
      <c r="D140" s="262">
        <v>2013</v>
      </c>
      <c r="E140" s="261">
        <v>191523855.31999996</v>
      </c>
      <c r="F140" s="261">
        <v>18756866.759690996</v>
      </c>
      <c r="G140" s="121">
        <f t="shared" si="13"/>
        <v>172766988.56030896</v>
      </c>
      <c r="H140" s="121">
        <f t="shared" si="15"/>
        <v>0</v>
      </c>
    </row>
    <row r="141" spans="1:8" x14ac:dyDescent="0.2">
      <c r="A141" s="60">
        <f t="shared" si="14"/>
        <v>70</v>
      </c>
      <c r="C141" s="130" t="s">
        <v>12</v>
      </c>
      <c r="D141" s="262">
        <v>2013</v>
      </c>
      <c r="E141" s="261">
        <v>191523855.31999996</v>
      </c>
      <c r="F141" s="261">
        <v>19151836.481805742</v>
      </c>
      <c r="G141" s="121">
        <f t="shared" si="13"/>
        <v>172372018.83819422</v>
      </c>
      <c r="H141" s="121">
        <f t="shared" si="15"/>
        <v>0</v>
      </c>
    </row>
    <row r="142" spans="1:8" x14ac:dyDescent="0.2">
      <c r="A142" s="60">
        <f t="shared" si="14"/>
        <v>71</v>
      </c>
      <c r="C142" s="118" t="s">
        <v>13</v>
      </c>
      <c r="D142" s="262">
        <v>2013</v>
      </c>
      <c r="E142" s="261">
        <v>191523855.31999996</v>
      </c>
      <c r="F142" s="261">
        <v>19546806.203920495</v>
      </c>
      <c r="G142" s="121">
        <f t="shared" si="13"/>
        <v>171977049.11607948</v>
      </c>
      <c r="H142" s="121">
        <f t="shared" si="15"/>
        <v>0</v>
      </c>
    </row>
    <row r="143" spans="1:8" x14ac:dyDescent="0.2">
      <c r="A143" s="60">
        <f t="shared" si="14"/>
        <v>72</v>
      </c>
      <c r="C143" s="118" t="s">
        <v>391</v>
      </c>
      <c r="D143" s="262">
        <v>2013</v>
      </c>
      <c r="E143" s="261">
        <v>191523855.31999996</v>
      </c>
      <c r="F143" s="261">
        <v>19941775.926035244</v>
      </c>
      <c r="G143" s="121">
        <f t="shared" si="13"/>
        <v>171582079.39396471</v>
      </c>
      <c r="H143" s="121">
        <f t="shared" si="15"/>
        <v>0</v>
      </c>
    </row>
    <row r="144" spans="1:8" x14ac:dyDescent="0.2">
      <c r="A144" s="60">
        <f t="shared" si="14"/>
        <v>73</v>
      </c>
      <c r="C144" s="130" t="s">
        <v>14</v>
      </c>
      <c r="D144" s="262">
        <v>2013</v>
      </c>
      <c r="E144" s="261">
        <v>191523855.31999996</v>
      </c>
      <c r="F144" s="261">
        <v>20336745.648149993</v>
      </c>
      <c r="G144" s="121">
        <f t="shared" si="13"/>
        <v>171187109.67184997</v>
      </c>
      <c r="H144" s="121">
        <f t="shared" si="15"/>
        <v>0</v>
      </c>
    </row>
    <row r="145" spans="1:8" x14ac:dyDescent="0.2">
      <c r="A145" s="60">
        <f t="shared" si="14"/>
        <v>74</v>
      </c>
      <c r="C145" s="118" t="s">
        <v>15</v>
      </c>
      <c r="D145" s="262">
        <v>2013</v>
      </c>
      <c r="E145" s="261">
        <v>191523855.31999996</v>
      </c>
      <c r="F145" s="261">
        <v>20731715.370264743</v>
      </c>
      <c r="G145" s="121">
        <f t="shared" si="13"/>
        <v>170792139.94973522</v>
      </c>
      <c r="H145" s="121">
        <f t="shared" si="15"/>
        <v>0</v>
      </c>
    </row>
    <row r="146" spans="1:8" x14ac:dyDescent="0.2">
      <c r="A146" s="60">
        <f t="shared" si="14"/>
        <v>75</v>
      </c>
      <c r="C146" s="118" t="s">
        <v>16</v>
      </c>
      <c r="D146" s="262">
        <v>2013</v>
      </c>
      <c r="E146" s="261">
        <v>191523855.31999996</v>
      </c>
      <c r="F146" s="261">
        <v>21126685.092379492</v>
      </c>
      <c r="G146" s="121">
        <f t="shared" si="13"/>
        <v>170397170.22762048</v>
      </c>
      <c r="H146" s="121">
        <f t="shared" si="15"/>
        <v>0</v>
      </c>
    </row>
    <row r="147" spans="1:8" x14ac:dyDescent="0.2">
      <c r="A147" s="60">
        <f t="shared" si="14"/>
        <v>76</v>
      </c>
      <c r="C147" s="130" t="s">
        <v>390</v>
      </c>
      <c r="D147" s="262">
        <v>2013</v>
      </c>
      <c r="E147" s="261">
        <v>191523855.31999996</v>
      </c>
      <c r="F147" s="261">
        <v>21521654.814494241</v>
      </c>
      <c r="G147" s="121">
        <f t="shared" si="13"/>
        <v>170002200.50550571</v>
      </c>
      <c r="H147" s="121">
        <f t="shared" si="15"/>
        <v>0</v>
      </c>
    </row>
    <row r="148" spans="1:8" x14ac:dyDescent="0.2">
      <c r="A148" s="60">
        <f t="shared" si="14"/>
        <v>77</v>
      </c>
      <c r="C148" s="130" t="s">
        <v>17</v>
      </c>
      <c r="D148" s="262">
        <v>2013</v>
      </c>
      <c r="E148" s="261">
        <v>191523855.31999996</v>
      </c>
      <c r="F148" s="261">
        <v>21916624.53660899</v>
      </c>
      <c r="G148" s="121">
        <f t="shared" si="13"/>
        <v>169607230.78339097</v>
      </c>
      <c r="H148" s="121">
        <f t="shared" si="15"/>
        <v>0</v>
      </c>
    </row>
    <row r="149" spans="1:8" x14ac:dyDescent="0.2">
      <c r="A149" s="60">
        <f t="shared" si="14"/>
        <v>78</v>
      </c>
      <c r="C149" s="130" t="s">
        <v>9</v>
      </c>
      <c r="D149" s="262">
        <v>2013</v>
      </c>
      <c r="E149" s="261">
        <v>191523855.31999996</v>
      </c>
      <c r="F149" s="261">
        <v>22311594.25872374</v>
      </c>
      <c r="G149" s="121">
        <f t="shared" si="13"/>
        <v>169212261.06127623</v>
      </c>
      <c r="H149" s="121">
        <f t="shared" si="15"/>
        <v>0</v>
      </c>
    </row>
    <row r="150" spans="1:8" x14ac:dyDescent="0.2">
      <c r="A150" s="60"/>
    </row>
    <row r="151" spans="1:8" ht="12.75" customHeight="1" x14ac:dyDescent="0.2"/>
    <row r="152" spans="1:8" x14ac:dyDescent="0.2">
      <c r="C152" s="290" t="s">
        <v>673</v>
      </c>
      <c r="E152" s="129" t="s">
        <v>167</v>
      </c>
      <c r="F152" s="129" t="s">
        <v>168</v>
      </c>
      <c r="G152" s="129" t="s">
        <v>184</v>
      </c>
      <c r="H152" s="129" t="s">
        <v>185</v>
      </c>
    </row>
    <row r="153" spans="1:8" x14ac:dyDescent="0.2">
      <c r="G153" s="266" t="s">
        <v>655</v>
      </c>
      <c r="H153" s="266" t="s">
        <v>667</v>
      </c>
    </row>
    <row r="154" spans="1:8" x14ac:dyDescent="0.2">
      <c r="C154" s="60" t="s">
        <v>646</v>
      </c>
      <c r="H154" s="208" t="s">
        <v>668</v>
      </c>
    </row>
    <row r="155" spans="1:8" x14ac:dyDescent="0.2">
      <c r="C155" s="60" t="s">
        <v>20</v>
      </c>
      <c r="E155" s="60" t="s">
        <v>517</v>
      </c>
      <c r="F155" s="60" t="s">
        <v>669</v>
      </c>
      <c r="G155" s="60" t="s">
        <v>436</v>
      </c>
      <c r="H155" s="60" t="s">
        <v>670</v>
      </c>
    </row>
    <row r="156" spans="1:8" x14ac:dyDescent="0.2">
      <c r="C156" s="128" t="s">
        <v>19</v>
      </c>
      <c r="D156" s="128" t="s">
        <v>20</v>
      </c>
      <c r="E156" s="64" t="s">
        <v>671</v>
      </c>
      <c r="F156" s="64" t="s">
        <v>429</v>
      </c>
      <c r="G156" s="64" t="s">
        <v>636</v>
      </c>
      <c r="H156" s="64" t="s">
        <v>661</v>
      </c>
    </row>
    <row r="157" spans="1:8" x14ac:dyDescent="0.2">
      <c r="A157" s="60">
        <f>A149+1</f>
        <v>79</v>
      </c>
      <c r="C157" s="130" t="s">
        <v>9</v>
      </c>
      <c r="D157" s="478">
        <v>2012</v>
      </c>
      <c r="E157" s="261">
        <v>0</v>
      </c>
      <c r="F157" s="261">
        <v>0</v>
      </c>
      <c r="G157" s="121">
        <f t="shared" ref="G157:G169" si="16">E157-F157</f>
        <v>0</v>
      </c>
      <c r="H157" s="121">
        <f>E157-E157</f>
        <v>0</v>
      </c>
    </row>
    <row r="158" spans="1:8" ht="13.5" thickBot="1" x14ac:dyDescent="0.25">
      <c r="A158" s="60">
        <f>A157+1</f>
        <v>80</v>
      </c>
      <c r="C158" s="130" t="s">
        <v>10</v>
      </c>
      <c r="D158" s="262">
        <v>2013</v>
      </c>
      <c r="E158" s="286">
        <v>0</v>
      </c>
      <c r="F158" s="261">
        <v>0</v>
      </c>
      <c r="G158" s="121">
        <f t="shared" si="16"/>
        <v>0</v>
      </c>
      <c r="H158" s="121">
        <f>E158-E157</f>
        <v>0</v>
      </c>
    </row>
    <row r="159" spans="1:8" ht="13.5" thickBot="1" x14ac:dyDescent="0.25">
      <c r="A159" s="60">
        <f t="shared" ref="A159:A169" si="17">A158+1</f>
        <v>81</v>
      </c>
      <c r="C159" s="118" t="s">
        <v>11</v>
      </c>
      <c r="D159" s="282">
        <v>2013</v>
      </c>
      <c r="E159" s="284">
        <v>0</v>
      </c>
      <c r="F159" s="488">
        <v>0</v>
      </c>
      <c r="G159" s="275">
        <f t="shared" si="16"/>
        <v>0</v>
      </c>
      <c r="H159" s="275">
        <f t="shared" ref="H159:H169" si="18">E159-E158</f>
        <v>0</v>
      </c>
    </row>
    <row r="160" spans="1:8" ht="13.5" thickBot="1" x14ac:dyDescent="0.25">
      <c r="A160" s="60">
        <f t="shared" si="17"/>
        <v>82</v>
      </c>
      <c r="C160" s="118" t="s">
        <v>21</v>
      </c>
      <c r="D160" s="262">
        <v>2013</v>
      </c>
      <c r="E160" s="489">
        <v>2989345.08</v>
      </c>
      <c r="F160" s="490">
        <v>0</v>
      </c>
      <c r="G160" s="275">
        <f t="shared" si="16"/>
        <v>2989345.08</v>
      </c>
      <c r="H160" s="275">
        <f t="shared" si="18"/>
        <v>2989345.08</v>
      </c>
    </row>
    <row r="161" spans="1:8" x14ac:dyDescent="0.2">
      <c r="A161" s="60">
        <f t="shared" si="17"/>
        <v>83</v>
      </c>
      <c r="C161" s="130" t="s">
        <v>12</v>
      </c>
      <c r="D161" s="282">
        <v>2013</v>
      </c>
      <c r="E161" s="285">
        <v>3141568.54</v>
      </c>
      <c r="F161" s="279">
        <v>6153.0686230000001</v>
      </c>
      <c r="G161" s="275">
        <f t="shared" si="16"/>
        <v>3135415.4713770002</v>
      </c>
      <c r="H161" s="275">
        <f t="shared" si="18"/>
        <v>152223.45999999996</v>
      </c>
    </row>
    <row r="162" spans="1:8" x14ac:dyDescent="0.2">
      <c r="A162" s="60">
        <f t="shared" si="17"/>
        <v>84</v>
      </c>
      <c r="C162" s="118" t="s">
        <v>13</v>
      </c>
      <c r="D162" s="282">
        <v>2013</v>
      </c>
      <c r="E162" s="279">
        <v>3145545.46</v>
      </c>
      <c r="F162" s="279">
        <v>12619.463867833334</v>
      </c>
      <c r="G162" s="275">
        <f t="shared" si="16"/>
        <v>3132925.9961321666</v>
      </c>
      <c r="H162" s="275">
        <f t="shared" si="18"/>
        <v>3976.9199999999255</v>
      </c>
    </row>
    <row r="163" spans="1:8" x14ac:dyDescent="0.2">
      <c r="A163" s="60">
        <f t="shared" si="17"/>
        <v>85</v>
      </c>
      <c r="C163" s="118" t="s">
        <v>391</v>
      </c>
      <c r="D163" s="282">
        <v>2013</v>
      </c>
      <c r="E163" s="279">
        <v>419200869.84999996</v>
      </c>
      <c r="F163" s="279">
        <v>19094.044939666666</v>
      </c>
      <c r="G163" s="275">
        <f t="shared" si="16"/>
        <v>419181775.80506033</v>
      </c>
      <c r="H163" s="275">
        <f t="shared" si="18"/>
        <v>416055324.38999999</v>
      </c>
    </row>
    <row r="164" spans="1:8" x14ac:dyDescent="0.2">
      <c r="A164" s="60">
        <f t="shared" si="17"/>
        <v>86</v>
      </c>
      <c r="C164" s="130" t="s">
        <v>14</v>
      </c>
      <c r="D164" s="282">
        <v>2013</v>
      </c>
      <c r="E164" s="279">
        <v>423060760.68000001</v>
      </c>
      <c r="F164" s="279">
        <v>907667.78124591662</v>
      </c>
      <c r="G164" s="275">
        <f t="shared" si="16"/>
        <v>422153092.89875412</v>
      </c>
      <c r="H164" s="275">
        <f t="shared" si="18"/>
        <v>3859890.8300000429</v>
      </c>
    </row>
    <row r="165" spans="1:8" x14ac:dyDescent="0.2">
      <c r="A165" s="60">
        <f t="shared" si="17"/>
        <v>87</v>
      </c>
      <c r="C165" s="118" t="s">
        <v>15</v>
      </c>
      <c r="D165" s="282">
        <v>2013</v>
      </c>
      <c r="E165" s="279">
        <v>424815922.39000005</v>
      </c>
      <c r="F165" s="279">
        <v>1804402.8611568331</v>
      </c>
      <c r="G165" s="275">
        <f t="shared" si="16"/>
        <v>423011519.52884322</v>
      </c>
      <c r="H165" s="121">
        <f t="shared" si="18"/>
        <v>1755161.7100000381</v>
      </c>
    </row>
    <row r="166" spans="1:8" x14ac:dyDescent="0.2">
      <c r="A166" s="60">
        <f t="shared" si="17"/>
        <v>88</v>
      </c>
      <c r="C166" s="118" t="s">
        <v>16</v>
      </c>
      <c r="D166" s="282">
        <v>2013</v>
      </c>
      <c r="E166" s="281">
        <v>668551056.51999998</v>
      </c>
      <c r="F166" s="279">
        <v>2704812.4770101667</v>
      </c>
      <c r="G166" s="275">
        <f t="shared" si="16"/>
        <v>665846244.04298985</v>
      </c>
      <c r="H166" s="275">
        <f t="shared" si="18"/>
        <v>243735134.12999994</v>
      </c>
    </row>
    <row r="167" spans="1:8" x14ac:dyDescent="0.2">
      <c r="A167" s="60">
        <f t="shared" si="17"/>
        <v>89</v>
      </c>
      <c r="C167" s="130" t="s">
        <v>390</v>
      </c>
      <c r="D167" s="282">
        <v>2013</v>
      </c>
      <c r="E167" s="279">
        <v>674238818.35000002</v>
      </c>
      <c r="F167" s="279">
        <v>4117083.1618652502</v>
      </c>
      <c r="G167" s="275">
        <f t="shared" si="16"/>
        <v>670121735.18813479</v>
      </c>
      <c r="H167" s="121">
        <f t="shared" si="18"/>
        <v>5687761.8300000429</v>
      </c>
    </row>
    <row r="168" spans="1:8" x14ac:dyDescent="0.2">
      <c r="A168" s="60">
        <f t="shared" si="17"/>
        <v>90</v>
      </c>
      <c r="C168" s="130" t="s">
        <v>17</v>
      </c>
      <c r="D168" s="282">
        <v>2013</v>
      </c>
      <c r="E168" s="281">
        <v>686382609.08000004</v>
      </c>
      <c r="F168" s="279">
        <v>5541351.6961238338</v>
      </c>
      <c r="G168" s="275">
        <f t="shared" si="16"/>
        <v>680841257.3838762</v>
      </c>
      <c r="H168" s="275">
        <f t="shared" si="18"/>
        <v>12143790.730000019</v>
      </c>
    </row>
    <row r="169" spans="1:8" ht="13.5" thickBot="1" x14ac:dyDescent="0.25">
      <c r="A169" s="60">
        <f t="shared" si="17"/>
        <v>91</v>
      </c>
      <c r="C169" s="130" t="s">
        <v>9</v>
      </c>
      <c r="D169" s="282">
        <v>2013</v>
      </c>
      <c r="E169" s="277">
        <v>743865693.1400001</v>
      </c>
      <c r="F169" s="277">
        <v>6991140.4685249161</v>
      </c>
      <c r="G169" s="275">
        <f t="shared" si="16"/>
        <v>736874552.67147517</v>
      </c>
      <c r="H169" s="275">
        <f t="shared" si="18"/>
        <v>57483084.060000062</v>
      </c>
    </row>
    <row r="171" spans="1:8" x14ac:dyDescent="0.2">
      <c r="C171" s="290" t="s">
        <v>674</v>
      </c>
      <c r="E171" s="129" t="s">
        <v>167</v>
      </c>
      <c r="F171" s="129" t="s">
        <v>168</v>
      </c>
      <c r="G171" s="129" t="s">
        <v>184</v>
      </c>
      <c r="H171" s="129" t="s">
        <v>185</v>
      </c>
    </row>
    <row r="172" spans="1:8" x14ac:dyDescent="0.2">
      <c r="G172" s="266" t="s">
        <v>655</v>
      </c>
      <c r="H172" s="266" t="s">
        <v>667</v>
      </c>
    </row>
    <row r="173" spans="1:8" x14ac:dyDescent="0.2">
      <c r="C173" s="60" t="s">
        <v>646</v>
      </c>
      <c r="H173" s="208" t="s">
        <v>668</v>
      </c>
    </row>
    <row r="174" spans="1:8" x14ac:dyDescent="0.2">
      <c r="C174" s="60" t="s">
        <v>20</v>
      </c>
      <c r="E174" s="60" t="s">
        <v>517</v>
      </c>
      <c r="F174" s="60" t="s">
        <v>669</v>
      </c>
      <c r="G174" s="60" t="s">
        <v>436</v>
      </c>
      <c r="H174" s="60" t="s">
        <v>670</v>
      </c>
    </row>
    <row r="175" spans="1:8" x14ac:dyDescent="0.2">
      <c r="C175" s="128" t="s">
        <v>19</v>
      </c>
      <c r="D175" s="128" t="s">
        <v>20</v>
      </c>
      <c r="E175" s="64" t="s">
        <v>671</v>
      </c>
      <c r="F175" s="64" t="s">
        <v>429</v>
      </c>
      <c r="G175" s="64" t="s">
        <v>636</v>
      </c>
      <c r="H175" s="64" t="s">
        <v>661</v>
      </c>
    </row>
    <row r="176" spans="1:8" x14ac:dyDescent="0.2">
      <c r="A176" s="60">
        <f>A169+1</f>
        <v>92</v>
      </c>
      <c r="C176" s="130" t="s">
        <v>9</v>
      </c>
      <c r="D176" s="478">
        <v>2012</v>
      </c>
      <c r="E176" s="261">
        <v>0</v>
      </c>
      <c r="F176" s="261">
        <v>0</v>
      </c>
      <c r="G176" s="121">
        <f t="shared" ref="G176:G188" si="19">E176-F176</f>
        <v>0</v>
      </c>
      <c r="H176" s="121">
        <f>E176-E176</f>
        <v>0</v>
      </c>
    </row>
    <row r="177" spans="1:8" x14ac:dyDescent="0.2">
      <c r="A177" s="60">
        <f>A176+1</f>
        <v>93</v>
      </c>
      <c r="C177" s="130" t="s">
        <v>10</v>
      </c>
      <c r="D177" s="262">
        <v>2013</v>
      </c>
      <c r="E177" s="261">
        <v>0</v>
      </c>
      <c r="F177" s="261">
        <v>0</v>
      </c>
      <c r="G177" s="121">
        <f t="shared" si="19"/>
        <v>0</v>
      </c>
      <c r="H177" s="121">
        <f>E177-E176</f>
        <v>0</v>
      </c>
    </row>
    <row r="178" spans="1:8" x14ac:dyDescent="0.2">
      <c r="A178" s="60">
        <f t="shared" ref="A178:A188" si="20">A177+1</f>
        <v>94</v>
      </c>
      <c r="C178" s="118" t="s">
        <v>11</v>
      </c>
      <c r="D178" s="262">
        <v>2013</v>
      </c>
      <c r="E178" s="261">
        <v>0</v>
      </c>
      <c r="F178" s="261">
        <v>0</v>
      </c>
      <c r="G178" s="121">
        <f t="shared" si="19"/>
        <v>0</v>
      </c>
      <c r="H178" s="121">
        <f t="shared" ref="H178:H188" si="21">E178-E177</f>
        <v>0</v>
      </c>
    </row>
    <row r="179" spans="1:8" x14ac:dyDescent="0.2">
      <c r="A179" s="60">
        <f t="shared" si="20"/>
        <v>95</v>
      </c>
      <c r="C179" s="118" t="s">
        <v>21</v>
      </c>
      <c r="D179" s="262">
        <v>2013</v>
      </c>
      <c r="E179" s="261">
        <v>0</v>
      </c>
      <c r="F179" s="261">
        <v>0</v>
      </c>
      <c r="G179" s="121">
        <f t="shared" si="19"/>
        <v>0</v>
      </c>
      <c r="H179" s="121">
        <f t="shared" si="21"/>
        <v>0</v>
      </c>
    </row>
    <row r="180" spans="1:8" x14ac:dyDescent="0.2">
      <c r="A180" s="60">
        <f t="shared" si="20"/>
        <v>96</v>
      </c>
      <c r="C180" s="130" t="s">
        <v>12</v>
      </c>
      <c r="D180" s="262">
        <v>2013</v>
      </c>
      <c r="E180" s="261">
        <v>0</v>
      </c>
      <c r="F180" s="261">
        <v>0</v>
      </c>
      <c r="G180" s="121">
        <f t="shared" si="19"/>
        <v>0</v>
      </c>
      <c r="H180" s="121">
        <f t="shared" si="21"/>
        <v>0</v>
      </c>
    </row>
    <row r="181" spans="1:8" x14ac:dyDescent="0.2">
      <c r="A181" s="60">
        <f t="shared" si="20"/>
        <v>97</v>
      </c>
      <c r="C181" s="118" t="s">
        <v>13</v>
      </c>
      <c r="D181" s="262">
        <v>2013</v>
      </c>
      <c r="E181" s="261">
        <v>218400008.78999999</v>
      </c>
      <c r="F181" s="261">
        <v>0</v>
      </c>
      <c r="G181" s="121">
        <f t="shared" si="19"/>
        <v>218400008.78999999</v>
      </c>
      <c r="H181" s="121">
        <f t="shared" si="21"/>
        <v>218400008.78999999</v>
      </c>
    </row>
    <row r="182" spans="1:8" x14ac:dyDescent="0.2">
      <c r="A182" s="60">
        <f t="shared" si="20"/>
        <v>98</v>
      </c>
      <c r="C182" s="118" t="s">
        <v>391</v>
      </c>
      <c r="D182" s="262">
        <v>2013</v>
      </c>
      <c r="E182" s="261">
        <v>232542211.06999999</v>
      </c>
      <c r="F182" s="261">
        <v>476032.6607161666</v>
      </c>
      <c r="G182" s="121">
        <f t="shared" si="19"/>
        <v>232066178.40928382</v>
      </c>
      <c r="H182" s="121">
        <f t="shared" si="21"/>
        <v>14142202.280000001</v>
      </c>
    </row>
    <row r="183" spans="1:8" x14ac:dyDescent="0.2">
      <c r="A183" s="60">
        <f t="shared" si="20"/>
        <v>99</v>
      </c>
      <c r="C183" s="130" t="s">
        <v>14</v>
      </c>
      <c r="D183" s="262">
        <v>2013</v>
      </c>
      <c r="E183" s="261">
        <v>288338114.13</v>
      </c>
      <c r="F183" s="261">
        <v>982932.52781016659</v>
      </c>
      <c r="G183" s="121">
        <f t="shared" si="19"/>
        <v>287355181.60218984</v>
      </c>
      <c r="H183" s="121">
        <f t="shared" si="21"/>
        <v>55795903.060000002</v>
      </c>
    </row>
    <row r="184" spans="1:8" x14ac:dyDescent="0.2">
      <c r="A184" s="60">
        <f t="shared" si="20"/>
        <v>100</v>
      </c>
      <c r="C184" s="118" t="s">
        <v>15</v>
      </c>
      <c r="D184" s="262">
        <v>2013</v>
      </c>
      <c r="E184" s="261">
        <v>290371353.26000005</v>
      </c>
      <c r="F184" s="261">
        <v>1605695.9441551666</v>
      </c>
      <c r="G184" s="121">
        <f t="shared" si="19"/>
        <v>288765657.31584489</v>
      </c>
      <c r="H184" s="121">
        <f t="shared" si="21"/>
        <v>2033239.1300000548</v>
      </c>
    </row>
    <row r="185" spans="1:8" x14ac:dyDescent="0.2">
      <c r="A185" s="60">
        <f t="shared" si="20"/>
        <v>101</v>
      </c>
      <c r="C185" s="118" t="s">
        <v>16</v>
      </c>
      <c r="D185" s="262">
        <v>2013</v>
      </c>
      <c r="E185" s="261">
        <v>290854957.01999998</v>
      </c>
      <c r="F185" s="261">
        <v>2232707.3935793336</v>
      </c>
      <c r="G185" s="121">
        <f t="shared" si="19"/>
        <v>288622249.62642068</v>
      </c>
      <c r="H185" s="121">
        <f t="shared" si="21"/>
        <v>483603.75999993086</v>
      </c>
    </row>
    <row r="186" spans="1:8" x14ac:dyDescent="0.2">
      <c r="A186" s="60">
        <f t="shared" si="20"/>
        <v>102</v>
      </c>
      <c r="C186" s="130" t="s">
        <v>390</v>
      </c>
      <c r="D186" s="262">
        <v>2013</v>
      </c>
      <c r="E186" s="261">
        <v>307610247.13999999</v>
      </c>
      <c r="F186" s="261">
        <v>2860740.5775740831</v>
      </c>
      <c r="G186" s="121">
        <f t="shared" si="19"/>
        <v>304749506.56242591</v>
      </c>
      <c r="H186" s="121">
        <f t="shared" si="21"/>
        <v>16755290.120000005</v>
      </c>
    </row>
    <row r="187" spans="1:8" x14ac:dyDescent="0.2">
      <c r="A187" s="60">
        <f t="shared" si="20"/>
        <v>103</v>
      </c>
      <c r="C187" s="130" t="s">
        <v>17</v>
      </c>
      <c r="D187" s="262">
        <v>2013</v>
      </c>
      <c r="E187" s="261">
        <v>312381315.10999995</v>
      </c>
      <c r="F187" s="261">
        <v>3525299.6742082499</v>
      </c>
      <c r="G187" s="121">
        <f t="shared" si="19"/>
        <v>308856015.43579173</v>
      </c>
      <c r="H187" s="121">
        <f t="shared" si="21"/>
        <v>4771067.969999969</v>
      </c>
    </row>
    <row r="188" spans="1:8" x14ac:dyDescent="0.2">
      <c r="A188" s="60">
        <f t="shared" si="20"/>
        <v>104</v>
      </c>
      <c r="C188" s="130" t="s">
        <v>9</v>
      </c>
      <c r="D188" s="262">
        <v>2013</v>
      </c>
      <c r="E188" s="261">
        <v>312958380.23000002</v>
      </c>
      <c r="F188" s="261">
        <v>4200209.2091801669</v>
      </c>
      <c r="G188" s="121">
        <f t="shared" si="19"/>
        <v>308758171.02081984</v>
      </c>
      <c r="H188" s="121">
        <f t="shared" si="21"/>
        <v>577065.12000006437</v>
      </c>
    </row>
    <row r="190" spans="1:8" x14ac:dyDescent="0.2">
      <c r="C190" s="290" t="s">
        <v>675</v>
      </c>
      <c r="E190" s="129" t="s">
        <v>167</v>
      </c>
      <c r="F190" s="129" t="s">
        <v>168</v>
      </c>
      <c r="G190" s="129" t="s">
        <v>184</v>
      </c>
      <c r="H190" s="129" t="s">
        <v>185</v>
      </c>
    </row>
    <row r="191" spans="1:8" x14ac:dyDescent="0.2">
      <c r="G191" s="266" t="s">
        <v>655</v>
      </c>
      <c r="H191" s="266" t="s">
        <v>667</v>
      </c>
    </row>
    <row r="192" spans="1:8" x14ac:dyDescent="0.2">
      <c r="C192" s="60" t="s">
        <v>646</v>
      </c>
      <c r="H192" s="208" t="s">
        <v>668</v>
      </c>
    </row>
    <row r="193" spans="1:8" x14ac:dyDescent="0.2">
      <c r="C193" s="60" t="s">
        <v>20</v>
      </c>
      <c r="E193" s="60" t="s">
        <v>517</v>
      </c>
      <c r="F193" s="60" t="s">
        <v>669</v>
      </c>
      <c r="G193" s="60" t="s">
        <v>436</v>
      </c>
      <c r="H193" s="60" t="s">
        <v>670</v>
      </c>
    </row>
    <row r="194" spans="1:8" x14ac:dyDescent="0.2">
      <c r="C194" s="128" t="s">
        <v>19</v>
      </c>
      <c r="D194" s="128" t="s">
        <v>20</v>
      </c>
      <c r="E194" s="64" t="s">
        <v>671</v>
      </c>
      <c r="F194" s="64" t="s">
        <v>429</v>
      </c>
      <c r="G194" s="64" t="s">
        <v>636</v>
      </c>
      <c r="H194" s="64" t="s">
        <v>661</v>
      </c>
    </row>
    <row r="195" spans="1:8" x14ac:dyDescent="0.2">
      <c r="A195" s="60">
        <f>A188+1</f>
        <v>105</v>
      </c>
      <c r="C195" s="130" t="s">
        <v>9</v>
      </c>
      <c r="D195" s="478">
        <v>2012</v>
      </c>
      <c r="E195" s="261">
        <v>0</v>
      </c>
      <c r="F195" s="261">
        <v>0</v>
      </c>
      <c r="G195" s="121">
        <f t="shared" ref="G195:G207" si="22">E195-F195</f>
        <v>0</v>
      </c>
      <c r="H195" s="121">
        <f>E195-E195</f>
        <v>0</v>
      </c>
    </row>
    <row r="196" spans="1:8" x14ac:dyDescent="0.2">
      <c r="A196" s="60">
        <f>A195+1</f>
        <v>106</v>
      </c>
      <c r="C196" s="130" t="s">
        <v>10</v>
      </c>
      <c r="D196" s="262">
        <v>2013</v>
      </c>
      <c r="E196" s="261">
        <v>0</v>
      </c>
      <c r="F196" s="261">
        <v>0</v>
      </c>
      <c r="G196" s="121">
        <f t="shared" si="22"/>
        <v>0</v>
      </c>
      <c r="H196" s="121">
        <f>E196-E195</f>
        <v>0</v>
      </c>
    </row>
    <row r="197" spans="1:8" x14ac:dyDescent="0.2">
      <c r="A197" s="60">
        <f t="shared" ref="A197:A207" si="23">A196+1</f>
        <v>107</v>
      </c>
      <c r="C197" s="118" t="s">
        <v>11</v>
      </c>
      <c r="D197" s="262">
        <v>2013</v>
      </c>
      <c r="E197" s="261">
        <v>0</v>
      </c>
      <c r="F197" s="261">
        <v>0</v>
      </c>
      <c r="G197" s="121">
        <f t="shared" si="22"/>
        <v>0</v>
      </c>
      <c r="H197" s="121">
        <f t="shared" ref="H197:H207" si="24">E197-E196</f>
        <v>0</v>
      </c>
    </row>
    <row r="198" spans="1:8" x14ac:dyDescent="0.2">
      <c r="A198" s="60">
        <f t="shared" si="23"/>
        <v>108</v>
      </c>
      <c r="C198" s="118" t="s">
        <v>21</v>
      </c>
      <c r="D198" s="262">
        <v>2013</v>
      </c>
      <c r="E198" s="261">
        <v>0</v>
      </c>
      <c r="F198" s="261">
        <v>0</v>
      </c>
      <c r="G198" s="121">
        <f t="shared" si="22"/>
        <v>0</v>
      </c>
      <c r="H198" s="121">
        <f t="shared" si="24"/>
        <v>0</v>
      </c>
    </row>
    <row r="199" spans="1:8" x14ac:dyDescent="0.2">
      <c r="A199" s="60">
        <f t="shared" si="23"/>
        <v>109</v>
      </c>
      <c r="C199" s="130" t="s">
        <v>12</v>
      </c>
      <c r="D199" s="262">
        <v>2013</v>
      </c>
      <c r="E199" s="261">
        <v>0</v>
      </c>
      <c r="F199" s="261">
        <v>0</v>
      </c>
      <c r="G199" s="121">
        <f t="shared" si="22"/>
        <v>0</v>
      </c>
      <c r="H199" s="121">
        <f t="shared" si="24"/>
        <v>0</v>
      </c>
    </row>
    <row r="200" spans="1:8" x14ac:dyDescent="0.2">
      <c r="A200" s="60">
        <f t="shared" si="23"/>
        <v>110</v>
      </c>
      <c r="C200" s="118" t="s">
        <v>13</v>
      </c>
      <c r="D200" s="262">
        <v>2013</v>
      </c>
      <c r="E200" s="261">
        <v>0</v>
      </c>
      <c r="F200" s="261">
        <v>0</v>
      </c>
      <c r="G200" s="121">
        <f t="shared" si="22"/>
        <v>0</v>
      </c>
      <c r="H200" s="121">
        <f t="shared" si="24"/>
        <v>0</v>
      </c>
    </row>
    <row r="201" spans="1:8" x14ac:dyDescent="0.2">
      <c r="A201" s="60">
        <f t="shared" si="23"/>
        <v>111</v>
      </c>
      <c r="C201" s="118" t="s">
        <v>391</v>
      </c>
      <c r="D201" s="262">
        <v>2013</v>
      </c>
      <c r="E201" s="261">
        <v>0</v>
      </c>
      <c r="F201" s="261">
        <v>0</v>
      </c>
      <c r="G201" s="121">
        <f t="shared" si="22"/>
        <v>0</v>
      </c>
      <c r="H201" s="121">
        <f t="shared" si="24"/>
        <v>0</v>
      </c>
    </row>
    <row r="202" spans="1:8" x14ac:dyDescent="0.2">
      <c r="A202" s="60">
        <f t="shared" si="23"/>
        <v>112</v>
      </c>
      <c r="C202" s="130" t="s">
        <v>14</v>
      </c>
      <c r="D202" s="262">
        <v>2013</v>
      </c>
      <c r="E202" s="261">
        <v>0</v>
      </c>
      <c r="F202" s="261">
        <v>0</v>
      </c>
      <c r="G202" s="121">
        <f t="shared" si="22"/>
        <v>0</v>
      </c>
      <c r="H202" s="121">
        <f t="shared" si="24"/>
        <v>0</v>
      </c>
    </row>
    <row r="203" spans="1:8" x14ac:dyDescent="0.2">
      <c r="A203" s="60">
        <f t="shared" si="23"/>
        <v>113</v>
      </c>
      <c r="C203" s="118" t="s">
        <v>15</v>
      </c>
      <c r="D203" s="262">
        <v>2013</v>
      </c>
      <c r="E203" s="261">
        <v>0</v>
      </c>
      <c r="F203" s="261">
        <v>0</v>
      </c>
      <c r="G203" s="121">
        <f t="shared" si="22"/>
        <v>0</v>
      </c>
      <c r="H203" s="121">
        <f t="shared" si="24"/>
        <v>0</v>
      </c>
    </row>
    <row r="204" spans="1:8" x14ac:dyDescent="0.2">
      <c r="A204" s="60">
        <f t="shared" si="23"/>
        <v>114</v>
      </c>
      <c r="C204" s="118" t="s">
        <v>16</v>
      </c>
      <c r="D204" s="262">
        <v>2013</v>
      </c>
      <c r="E204" s="261">
        <v>0</v>
      </c>
      <c r="F204" s="261">
        <v>0</v>
      </c>
      <c r="G204" s="121">
        <f t="shared" si="22"/>
        <v>0</v>
      </c>
      <c r="H204" s="121">
        <f t="shared" si="24"/>
        <v>0</v>
      </c>
    </row>
    <row r="205" spans="1:8" x14ac:dyDescent="0.2">
      <c r="A205" s="60">
        <f t="shared" si="23"/>
        <v>115</v>
      </c>
      <c r="C205" s="130" t="s">
        <v>390</v>
      </c>
      <c r="D205" s="262">
        <v>2013</v>
      </c>
      <c r="E205" s="261">
        <v>0</v>
      </c>
      <c r="F205" s="261">
        <v>0</v>
      </c>
      <c r="G205" s="121">
        <f t="shared" si="22"/>
        <v>0</v>
      </c>
      <c r="H205" s="121">
        <f t="shared" si="24"/>
        <v>0</v>
      </c>
    </row>
    <row r="206" spans="1:8" x14ac:dyDescent="0.2">
      <c r="A206" s="60">
        <f t="shared" si="23"/>
        <v>116</v>
      </c>
      <c r="C206" s="130" t="s">
        <v>17</v>
      </c>
      <c r="D206" s="262">
        <v>2013</v>
      </c>
      <c r="E206" s="261">
        <v>0</v>
      </c>
      <c r="F206" s="261">
        <v>0</v>
      </c>
      <c r="G206" s="121">
        <f t="shared" si="22"/>
        <v>0</v>
      </c>
      <c r="H206" s="121">
        <f t="shared" si="24"/>
        <v>0</v>
      </c>
    </row>
    <row r="207" spans="1:8" x14ac:dyDescent="0.2">
      <c r="A207" s="60">
        <f t="shared" si="23"/>
        <v>117</v>
      </c>
      <c r="C207" s="130" t="s">
        <v>9</v>
      </c>
      <c r="D207" s="262">
        <v>2013</v>
      </c>
      <c r="E207" s="261">
        <v>0</v>
      </c>
      <c r="F207" s="261">
        <v>0</v>
      </c>
      <c r="G207" s="121">
        <f t="shared" si="22"/>
        <v>0</v>
      </c>
      <c r="H207" s="121">
        <f t="shared" si="24"/>
        <v>0</v>
      </c>
    </row>
    <row r="209" spans="1:8" x14ac:dyDescent="0.2">
      <c r="C209" s="290" t="s">
        <v>676</v>
      </c>
      <c r="E209" s="129" t="s">
        <v>167</v>
      </c>
      <c r="F209" s="129" t="s">
        <v>168</v>
      </c>
      <c r="G209" s="129" t="s">
        <v>184</v>
      </c>
      <c r="H209" s="129" t="s">
        <v>185</v>
      </c>
    </row>
    <row r="210" spans="1:8" x14ac:dyDescent="0.2">
      <c r="G210" s="266" t="s">
        <v>655</v>
      </c>
      <c r="H210" s="266" t="s">
        <v>667</v>
      </c>
    </row>
    <row r="211" spans="1:8" x14ac:dyDescent="0.2">
      <c r="C211" s="60" t="s">
        <v>646</v>
      </c>
      <c r="H211" s="208" t="s">
        <v>668</v>
      </c>
    </row>
    <row r="212" spans="1:8" x14ac:dyDescent="0.2">
      <c r="C212" s="60" t="s">
        <v>20</v>
      </c>
      <c r="E212" s="60" t="s">
        <v>517</v>
      </c>
      <c r="F212" s="60" t="s">
        <v>669</v>
      </c>
      <c r="G212" s="60" t="s">
        <v>436</v>
      </c>
      <c r="H212" s="60" t="s">
        <v>670</v>
      </c>
    </row>
    <row r="213" spans="1:8" x14ac:dyDescent="0.2">
      <c r="C213" s="128" t="s">
        <v>19</v>
      </c>
      <c r="D213" s="128" t="s">
        <v>20</v>
      </c>
      <c r="E213" s="64" t="s">
        <v>671</v>
      </c>
      <c r="F213" s="64" t="s">
        <v>429</v>
      </c>
      <c r="G213" s="64" t="s">
        <v>636</v>
      </c>
      <c r="H213" s="64" t="s">
        <v>661</v>
      </c>
    </row>
    <row r="214" spans="1:8" x14ac:dyDescent="0.2">
      <c r="A214" s="60">
        <f>A207+1</f>
        <v>118</v>
      </c>
      <c r="C214" s="130" t="s">
        <v>9</v>
      </c>
      <c r="D214" s="478">
        <v>2012</v>
      </c>
      <c r="E214" s="261">
        <v>0</v>
      </c>
      <c r="F214" s="261">
        <v>0</v>
      </c>
      <c r="G214" s="121">
        <f t="shared" ref="G214:G226" si="25">E214-F214</f>
        <v>0</v>
      </c>
      <c r="H214" s="121">
        <f>E214-E214</f>
        <v>0</v>
      </c>
    </row>
    <row r="215" spans="1:8" x14ac:dyDescent="0.2">
      <c r="A215" s="60">
        <f>A214+1</f>
        <v>119</v>
      </c>
      <c r="C215" s="130" t="s">
        <v>10</v>
      </c>
      <c r="D215" s="262">
        <v>2013</v>
      </c>
      <c r="E215" s="261">
        <v>0</v>
      </c>
      <c r="F215" s="261">
        <v>0</v>
      </c>
      <c r="G215" s="121">
        <f t="shared" si="25"/>
        <v>0</v>
      </c>
      <c r="H215" s="121">
        <f>E215-E214</f>
        <v>0</v>
      </c>
    </row>
    <row r="216" spans="1:8" x14ac:dyDescent="0.2">
      <c r="A216" s="60">
        <f t="shared" ref="A216:A226" si="26">A215+1</f>
        <v>120</v>
      </c>
      <c r="C216" s="118" t="s">
        <v>11</v>
      </c>
      <c r="D216" s="262">
        <v>2013</v>
      </c>
      <c r="E216" s="261">
        <v>0</v>
      </c>
      <c r="F216" s="261">
        <v>0</v>
      </c>
      <c r="G216" s="121">
        <f t="shared" si="25"/>
        <v>0</v>
      </c>
      <c r="H216" s="121">
        <f t="shared" ref="H216:H226" si="27">E216-E215</f>
        <v>0</v>
      </c>
    </row>
    <row r="217" spans="1:8" x14ac:dyDescent="0.2">
      <c r="A217" s="60">
        <f t="shared" si="26"/>
        <v>121</v>
      </c>
      <c r="C217" s="118" t="s">
        <v>21</v>
      </c>
      <c r="D217" s="262">
        <v>2013</v>
      </c>
      <c r="E217" s="261">
        <v>0</v>
      </c>
      <c r="F217" s="261">
        <v>0</v>
      </c>
      <c r="G217" s="121">
        <f t="shared" si="25"/>
        <v>0</v>
      </c>
      <c r="H217" s="121">
        <f t="shared" si="27"/>
        <v>0</v>
      </c>
    </row>
    <row r="218" spans="1:8" x14ac:dyDescent="0.2">
      <c r="A218" s="60">
        <f t="shared" si="26"/>
        <v>122</v>
      </c>
      <c r="C218" s="130" t="s">
        <v>12</v>
      </c>
      <c r="D218" s="262">
        <v>2013</v>
      </c>
      <c r="E218" s="261">
        <v>0</v>
      </c>
      <c r="F218" s="261">
        <v>0</v>
      </c>
      <c r="G218" s="121">
        <f t="shared" si="25"/>
        <v>0</v>
      </c>
      <c r="H218" s="121">
        <f t="shared" si="27"/>
        <v>0</v>
      </c>
    </row>
    <row r="219" spans="1:8" x14ac:dyDescent="0.2">
      <c r="A219" s="60">
        <f t="shared" si="26"/>
        <v>123</v>
      </c>
      <c r="C219" s="118" t="s">
        <v>13</v>
      </c>
      <c r="D219" s="262">
        <v>2013</v>
      </c>
      <c r="E219" s="261">
        <v>0</v>
      </c>
      <c r="F219" s="261">
        <v>0</v>
      </c>
      <c r="G219" s="121">
        <f t="shared" si="25"/>
        <v>0</v>
      </c>
      <c r="H219" s="121">
        <f t="shared" si="27"/>
        <v>0</v>
      </c>
    </row>
    <row r="220" spans="1:8" x14ac:dyDescent="0.2">
      <c r="A220" s="60">
        <f t="shared" si="26"/>
        <v>124</v>
      </c>
      <c r="C220" s="118" t="s">
        <v>391</v>
      </c>
      <c r="D220" s="262">
        <v>2013</v>
      </c>
      <c r="E220" s="261">
        <v>183862841.53</v>
      </c>
      <c r="F220" s="261">
        <v>0</v>
      </c>
      <c r="G220" s="121">
        <f t="shared" si="25"/>
        <v>183862841.53</v>
      </c>
      <c r="H220" s="121">
        <f t="shared" si="27"/>
        <v>183862841.53</v>
      </c>
    </row>
    <row r="221" spans="1:8" x14ac:dyDescent="0.2">
      <c r="A221" s="60">
        <f t="shared" si="26"/>
        <v>125</v>
      </c>
      <c r="C221" s="130" t="s">
        <v>14</v>
      </c>
      <c r="D221" s="262">
        <v>2013</v>
      </c>
      <c r="E221" s="261">
        <v>186992688.97999999</v>
      </c>
      <c r="F221" s="261">
        <v>384352.29909558332</v>
      </c>
      <c r="G221" s="121">
        <f t="shared" si="25"/>
        <v>186608336.68090442</v>
      </c>
      <c r="H221" s="121">
        <f t="shared" si="27"/>
        <v>3129847.4499999881</v>
      </c>
    </row>
    <row r="222" spans="1:8" x14ac:dyDescent="0.2">
      <c r="A222" s="60">
        <f t="shared" si="26"/>
        <v>126</v>
      </c>
      <c r="C222" s="118" t="s">
        <v>15</v>
      </c>
      <c r="D222" s="262">
        <v>2013</v>
      </c>
      <c r="E222" s="261">
        <v>195120712.97999996</v>
      </c>
      <c r="F222" s="261">
        <v>775216.1099526668</v>
      </c>
      <c r="G222" s="121">
        <f t="shared" si="25"/>
        <v>194345496.8700473</v>
      </c>
      <c r="H222" s="121">
        <f t="shared" si="27"/>
        <v>8128023.9999999702</v>
      </c>
    </row>
    <row r="223" spans="1:8" x14ac:dyDescent="0.2">
      <c r="A223" s="60">
        <f t="shared" si="26"/>
        <v>127</v>
      </c>
      <c r="C223" s="118" t="s">
        <v>16</v>
      </c>
      <c r="D223" s="262">
        <v>2013</v>
      </c>
      <c r="E223" s="261">
        <v>196590614.58999997</v>
      </c>
      <c r="F223" s="261">
        <v>1183001.6741963334</v>
      </c>
      <c r="G223" s="121">
        <f t="shared" si="25"/>
        <v>195407612.91580364</v>
      </c>
      <c r="H223" s="121">
        <f t="shared" si="27"/>
        <v>1469901.6100000143</v>
      </c>
    </row>
    <row r="224" spans="1:8" x14ac:dyDescent="0.2">
      <c r="A224" s="60">
        <f t="shared" si="26"/>
        <v>128</v>
      </c>
      <c r="C224" s="130" t="s">
        <v>390</v>
      </c>
      <c r="D224" s="262">
        <v>2013</v>
      </c>
      <c r="E224" s="261">
        <v>197622296.98000002</v>
      </c>
      <c r="F224" s="261">
        <v>1593845.5858180833</v>
      </c>
      <c r="G224" s="121">
        <f t="shared" si="25"/>
        <v>196028451.39418194</v>
      </c>
      <c r="H224" s="121">
        <f t="shared" si="27"/>
        <v>1031682.3900000453</v>
      </c>
    </row>
    <row r="225" spans="1:8" x14ac:dyDescent="0.2">
      <c r="A225" s="60">
        <f t="shared" si="26"/>
        <v>129</v>
      </c>
      <c r="C225" s="130" t="s">
        <v>17</v>
      </c>
      <c r="D225" s="262">
        <v>2013</v>
      </c>
      <c r="E225" s="261">
        <v>198207296.34000003</v>
      </c>
      <c r="F225" s="261">
        <v>2006844.1847945834</v>
      </c>
      <c r="G225" s="121">
        <f t="shared" si="25"/>
        <v>196200452.15520546</v>
      </c>
      <c r="H225" s="121">
        <f t="shared" si="27"/>
        <v>584999.36000001431</v>
      </c>
    </row>
    <row r="226" spans="1:8" x14ac:dyDescent="0.2">
      <c r="A226" s="60">
        <f t="shared" si="26"/>
        <v>130</v>
      </c>
      <c r="C226" s="130" t="s">
        <v>9</v>
      </c>
      <c r="D226" s="262">
        <v>2013</v>
      </c>
      <c r="E226" s="261">
        <v>209564497.60999995</v>
      </c>
      <c r="F226" s="261">
        <v>2421063.2182534998</v>
      </c>
      <c r="G226" s="121">
        <f t="shared" si="25"/>
        <v>207143434.39174646</v>
      </c>
      <c r="H226" s="121">
        <f t="shared" si="27"/>
        <v>11357201.269999921</v>
      </c>
    </row>
    <row r="228" spans="1:8" x14ac:dyDescent="0.2">
      <c r="C228" s="290" t="s">
        <v>677</v>
      </c>
      <c r="H228" s="129" t="s">
        <v>185</v>
      </c>
    </row>
    <row r="229" spans="1:8" x14ac:dyDescent="0.2">
      <c r="E229" s="129" t="s">
        <v>167</v>
      </c>
      <c r="F229" s="129" t="s">
        <v>168</v>
      </c>
      <c r="G229" s="129" t="s">
        <v>184</v>
      </c>
      <c r="H229" s="266" t="s">
        <v>667</v>
      </c>
    </row>
    <row r="230" spans="1:8" x14ac:dyDescent="0.2">
      <c r="C230" s="60" t="s">
        <v>646</v>
      </c>
      <c r="G230" s="266" t="s">
        <v>655</v>
      </c>
      <c r="H230" s="208" t="s">
        <v>668</v>
      </c>
    </row>
    <row r="231" spans="1:8" x14ac:dyDescent="0.2">
      <c r="C231" s="60" t="s">
        <v>20</v>
      </c>
      <c r="E231" s="60" t="s">
        <v>517</v>
      </c>
      <c r="F231" s="60" t="s">
        <v>669</v>
      </c>
      <c r="G231" s="60" t="s">
        <v>436</v>
      </c>
      <c r="H231" s="60" t="s">
        <v>670</v>
      </c>
    </row>
    <row r="232" spans="1:8" x14ac:dyDescent="0.2">
      <c r="C232" s="128" t="s">
        <v>19</v>
      </c>
      <c r="D232" s="128" t="s">
        <v>20</v>
      </c>
      <c r="E232" s="64" t="s">
        <v>671</v>
      </c>
      <c r="F232" s="64" t="s">
        <v>429</v>
      </c>
      <c r="G232" s="64" t="s">
        <v>636</v>
      </c>
      <c r="H232" s="64" t="s">
        <v>661</v>
      </c>
    </row>
    <row r="233" spans="1:8" x14ac:dyDescent="0.2">
      <c r="A233" s="60">
        <f>A226+1</f>
        <v>131</v>
      </c>
      <c r="C233" s="130" t="s">
        <v>9</v>
      </c>
      <c r="D233" s="478">
        <v>2012</v>
      </c>
      <c r="E233" s="261">
        <v>2696326.14</v>
      </c>
      <c r="F233" s="261">
        <v>5076.0532809999995</v>
      </c>
      <c r="G233" s="121">
        <f t="shared" ref="G233:G245" si="28">E233-F233</f>
        <v>2691250.0867190002</v>
      </c>
      <c r="H233" s="121">
        <f>E233-E233</f>
        <v>0</v>
      </c>
    </row>
    <row r="234" spans="1:8" x14ac:dyDescent="0.2">
      <c r="A234" s="60">
        <f>A233+1</f>
        <v>132</v>
      </c>
      <c r="C234" s="130" t="s">
        <v>10</v>
      </c>
      <c r="D234" s="262">
        <v>2013</v>
      </c>
      <c r="E234" s="261">
        <v>2569143.0199999996</v>
      </c>
      <c r="F234" s="261">
        <v>10625.9912525</v>
      </c>
      <c r="G234" s="121">
        <f t="shared" si="28"/>
        <v>2558517.0287474995</v>
      </c>
      <c r="H234" s="121">
        <f>E234-E233</f>
        <v>-127183.12000000058</v>
      </c>
    </row>
    <row r="235" spans="1:8" x14ac:dyDescent="0.2">
      <c r="A235" s="60">
        <f t="shared" ref="A235:A245" si="29">A234+1</f>
        <v>133</v>
      </c>
      <c r="C235" s="118" t="s">
        <v>11</v>
      </c>
      <c r="D235" s="262">
        <v>2013</v>
      </c>
      <c r="E235" s="261">
        <v>2569143.0199999996</v>
      </c>
      <c r="F235" s="261">
        <v>15914.143968666667</v>
      </c>
      <c r="G235" s="121">
        <f t="shared" si="28"/>
        <v>2553228.8760313331</v>
      </c>
      <c r="H235" s="121">
        <f t="shared" ref="H235:H245" si="30">E235-E234</f>
        <v>0</v>
      </c>
    </row>
    <row r="236" spans="1:8" x14ac:dyDescent="0.2">
      <c r="A236" s="60">
        <f t="shared" si="29"/>
        <v>134</v>
      </c>
      <c r="C236" s="118" t="s">
        <v>21</v>
      </c>
      <c r="D236" s="262">
        <v>2013</v>
      </c>
      <c r="E236" s="261">
        <v>2604638.6499999994</v>
      </c>
      <c r="F236" s="261">
        <v>21202.296684833334</v>
      </c>
      <c r="G236" s="121">
        <f t="shared" si="28"/>
        <v>2583436.3533151662</v>
      </c>
      <c r="H236" s="121">
        <f t="shared" si="30"/>
        <v>35495.629999999888</v>
      </c>
    </row>
    <row r="237" spans="1:8" x14ac:dyDescent="0.2">
      <c r="A237" s="60">
        <f t="shared" si="29"/>
        <v>135</v>
      </c>
      <c r="C237" s="130" t="s">
        <v>12</v>
      </c>
      <c r="D237" s="262">
        <v>2013</v>
      </c>
      <c r="E237" s="261">
        <v>2859377.4899999993</v>
      </c>
      <c r="F237" s="261">
        <v>26563.511239416668</v>
      </c>
      <c r="G237" s="121">
        <f t="shared" si="28"/>
        <v>2832813.9787605824</v>
      </c>
      <c r="H237" s="121">
        <f t="shared" si="30"/>
        <v>254738.83999999985</v>
      </c>
    </row>
    <row r="238" spans="1:8" x14ac:dyDescent="0.2">
      <c r="A238" s="60">
        <f t="shared" si="29"/>
        <v>136</v>
      </c>
      <c r="C238" s="118" t="s">
        <v>13</v>
      </c>
      <c r="D238" s="262">
        <v>2013</v>
      </c>
      <c r="E238" s="261">
        <v>2857057.7399999993</v>
      </c>
      <c r="F238" s="261">
        <v>32449.063239666666</v>
      </c>
      <c r="G238" s="121">
        <f t="shared" si="28"/>
        <v>2824608.6767603327</v>
      </c>
      <c r="H238" s="121">
        <f t="shared" si="30"/>
        <v>-2319.75</v>
      </c>
    </row>
    <row r="239" spans="1:8" x14ac:dyDescent="0.2">
      <c r="A239" s="60">
        <f t="shared" si="29"/>
        <v>137</v>
      </c>
      <c r="C239" s="118" t="s">
        <v>391</v>
      </c>
      <c r="D239" s="262">
        <v>2013</v>
      </c>
      <c r="E239" s="261">
        <v>2857057.7399999993</v>
      </c>
      <c r="F239" s="261">
        <v>38329.840421166664</v>
      </c>
      <c r="G239" s="121">
        <f t="shared" si="28"/>
        <v>2818727.8995788326</v>
      </c>
      <c r="H239" s="121">
        <f t="shared" si="30"/>
        <v>0</v>
      </c>
    </row>
    <row r="240" spans="1:8" x14ac:dyDescent="0.2">
      <c r="A240" s="60">
        <f t="shared" si="29"/>
        <v>138</v>
      </c>
      <c r="C240" s="130" t="s">
        <v>14</v>
      </c>
      <c r="D240" s="262">
        <v>2013</v>
      </c>
      <c r="E240" s="261">
        <v>2857057.7399999993</v>
      </c>
      <c r="F240" s="261">
        <v>44210.617602666665</v>
      </c>
      <c r="G240" s="121">
        <f t="shared" si="28"/>
        <v>2812847.1223973325</v>
      </c>
      <c r="H240" s="121">
        <f t="shared" si="30"/>
        <v>0</v>
      </c>
    </row>
    <row r="241" spans="1:8" x14ac:dyDescent="0.2">
      <c r="A241" s="60">
        <f t="shared" si="29"/>
        <v>139</v>
      </c>
      <c r="C241" s="118" t="s">
        <v>15</v>
      </c>
      <c r="D241" s="262">
        <v>2013</v>
      </c>
      <c r="E241" s="261">
        <v>2858233.5399999991</v>
      </c>
      <c r="F241" s="261">
        <v>50091.394784166667</v>
      </c>
      <c r="G241" s="121">
        <f t="shared" si="28"/>
        <v>2808142.1452158326</v>
      </c>
      <c r="H241" s="121">
        <f t="shared" si="30"/>
        <v>1175.7999999998137</v>
      </c>
    </row>
    <row r="242" spans="1:8" x14ac:dyDescent="0.2">
      <c r="A242" s="60">
        <f t="shared" si="29"/>
        <v>140</v>
      </c>
      <c r="C242" s="118" t="s">
        <v>16</v>
      </c>
      <c r="D242" s="262">
        <v>2013</v>
      </c>
      <c r="E242" s="261">
        <v>4296031.0199999996</v>
      </c>
      <c r="F242" s="261">
        <v>55974.592153999998</v>
      </c>
      <c r="G242" s="121">
        <f t="shared" si="28"/>
        <v>4240056.4278459996</v>
      </c>
      <c r="H242" s="121">
        <f t="shared" si="30"/>
        <v>1437797.4800000004</v>
      </c>
    </row>
    <row r="243" spans="1:8" x14ac:dyDescent="0.2">
      <c r="A243" s="60">
        <f t="shared" si="29"/>
        <v>141</v>
      </c>
      <c r="C243" s="130" t="s">
        <v>390</v>
      </c>
      <c r="D243" s="262">
        <v>2013</v>
      </c>
      <c r="E243" s="261">
        <v>4296031.0199999996</v>
      </c>
      <c r="F243" s="261">
        <v>64817.256003499999</v>
      </c>
      <c r="G243" s="121">
        <f t="shared" si="28"/>
        <v>4231213.7639964996</v>
      </c>
      <c r="H243" s="121">
        <f t="shared" si="30"/>
        <v>0</v>
      </c>
    </row>
    <row r="244" spans="1:8" x14ac:dyDescent="0.2">
      <c r="A244" s="60">
        <f t="shared" si="29"/>
        <v>142</v>
      </c>
      <c r="C244" s="130" t="s">
        <v>17</v>
      </c>
      <c r="D244" s="262">
        <v>2013</v>
      </c>
      <c r="E244" s="261">
        <v>4299705.8099999996</v>
      </c>
      <c r="F244" s="261">
        <v>73659.919852999999</v>
      </c>
      <c r="G244" s="121">
        <f t="shared" si="28"/>
        <v>4226045.8901469996</v>
      </c>
      <c r="H244" s="121">
        <f t="shared" si="30"/>
        <v>3674.7900000000373</v>
      </c>
    </row>
    <row r="245" spans="1:8" x14ac:dyDescent="0.2">
      <c r="A245" s="60">
        <f t="shared" si="29"/>
        <v>143</v>
      </c>
      <c r="C245" s="130" t="s">
        <v>9</v>
      </c>
      <c r="D245" s="262">
        <v>2013</v>
      </c>
      <c r="E245" s="261">
        <v>4391956.76</v>
      </c>
      <c r="F245" s="261">
        <v>82510.147645249992</v>
      </c>
      <c r="G245" s="121">
        <f t="shared" si="28"/>
        <v>4309446.6123547498</v>
      </c>
      <c r="H245" s="121">
        <f t="shared" si="30"/>
        <v>92250.950000000186</v>
      </c>
    </row>
    <row r="247" spans="1:8" x14ac:dyDescent="0.2">
      <c r="C247" s="290" t="s">
        <v>678</v>
      </c>
      <c r="H247" s="129" t="s">
        <v>185</v>
      </c>
    </row>
    <row r="248" spans="1:8" x14ac:dyDescent="0.2">
      <c r="E248" s="129" t="s">
        <v>167</v>
      </c>
      <c r="F248" s="129" t="s">
        <v>168</v>
      </c>
      <c r="G248" s="129" t="s">
        <v>184</v>
      </c>
      <c r="H248" s="266" t="s">
        <v>667</v>
      </c>
    </row>
    <row r="249" spans="1:8" x14ac:dyDescent="0.2">
      <c r="C249" s="60" t="s">
        <v>646</v>
      </c>
      <c r="G249" s="266" t="s">
        <v>655</v>
      </c>
      <c r="H249" s="208" t="s">
        <v>668</v>
      </c>
    </row>
    <row r="250" spans="1:8" x14ac:dyDescent="0.2">
      <c r="C250" s="60" t="s">
        <v>20</v>
      </c>
      <c r="E250" s="60" t="s">
        <v>517</v>
      </c>
      <c r="F250" s="60" t="s">
        <v>669</v>
      </c>
      <c r="G250" s="60" t="s">
        <v>436</v>
      </c>
      <c r="H250" s="60" t="s">
        <v>670</v>
      </c>
    </row>
    <row r="251" spans="1:8" x14ac:dyDescent="0.2">
      <c r="C251" s="128" t="s">
        <v>19</v>
      </c>
      <c r="D251" s="128" t="s">
        <v>20</v>
      </c>
      <c r="E251" s="64" t="s">
        <v>671</v>
      </c>
      <c r="F251" s="64" t="s">
        <v>429</v>
      </c>
      <c r="G251" s="64" t="s">
        <v>636</v>
      </c>
      <c r="H251" s="64" t="s">
        <v>661</v>
      </c>
    </row>
    <row r="252" spans="1:8" x14ac:dyDescent="0.2">
      <c r="A252" s="60">
        <f>A245+1</f>
        <v>144</v>
      </c>
      <c r="C252" s="130" t="s">
        <v>9</v>
      </c>
      <c r="D252" s="478">
        <v>2012</v>
      </c>
      <c r="E252" s="261">
        <v>0</v>
      </c>
      <c r="F252" s="261">
        <v>0</v>
      </c>
      <c r="G252" s="121">
        <f t="shared" ref="G252:G264" si="31">E252-F252</f>
        <v>0</v>
      </c>
      <c r="H252" s="121">
        <f>E252-E252</f>
        <v>0</v>
      </c>
    </row>
    <row r="253" spans="1:8" x14ac:dyDescent="0.2">
      <c r="A253" s="60">
        <f>A252+1</f>
        <v>145</v>
      </c>
      <c r="C253" s="130" t="s">
        <v>10</v>
      </c>
      <c r="D253" s="262">
        <v>2013</v>
      </c>
      <c r="E253" s="261">
        <v>0</v>
      </c>
      <c r="F253" s="261">
        <v>0</v>
      </c>
      <c r="G253" s="121">
        <f t="shared" si="31"/>
        <v>0</v>
      </c>
      <c r="H253" s="121">
        <f>E253-E252</f>
        <v>0</v>
      </c>
    </row>
    <row r="254" spans="1:8" x14ac:dyDescent="0.2">
      <c r="A254" s="60">
        <f t="shared" ref="A254:A264" si="32">A253+1</f>
        <v>146</v>
      </c>
      <c r="C254" s="118" t="s">
        <v>11</v>
      </c>
      <c r="D254" s="262">
        <v>2013</v>
      </c>
      <c r="E254" s="261">
        <v>0</v>
      </c>
      <c r="F254" s="261">
        <v>0</v>
      </c>
      <c r="G254" s="121">
        <f t="shared" si="31"/>
        <v>0</v>
      </c>
      <c r="H254" s="121">
        <f t="shared" ref="H254:H264" si="33">E254-E253</f>
        <v>0</v>
      </c>
    </row>
    <row r="255" spans="1:8" x14ac:dyDescent="0.2">
      <c r="A255" s="60">
        <f t="shared" si="32"/>
        <v>147</v>
      </c>
      <c r="C255" s="118" t="s">
        <v>21</v>
      </c>
      <c r="D255" s="262">
        <v>2013</v>
      </c>
      <c r="E255" s="261">
        <v>0</v>
      </c>
      <c r="F255" s="261">
        <v>0</v>
      </c>
      <c r="G255" s="121">
        <f t="shared" si="31"/>
        <v>0</v>
      </c>
      <c r="H255" s="121">
        <f t="shared" si="33"/>
        <v>0</v>
      </c>
    </row>
    <row r="256" spans="1:8" x14ac:dyDescent="0.2">
      <c r="A256" s="60">
        <f t="shared" si="32"/>
        <v>148</v>
      </c>
      <c r="C256" s="130" t="s">
        <v>12</v>
      </c>
      <c r="D256" s="262">
        <v>2013</v>
      </c>
      <c r="E256" s="261">
        <v>0</v>
      </c>
      <c r="F256" s="261">
        <v>0</v>
      </c>
      <c r="G256" s="121">
        <f t="shared" si="31"/>
        <v>0</v>
      </c>
      <c r="H256" s="121">
        <f t="shared" si="33"/>
        <v>0</v>
      </c>
    </row>
    <row r="257" spans="1:8" x14ac:dyDescent="0.2">
      <c r="A257" s="60">
        <f t="shared" si="32"/>
        <v>149</v>
      </c>
      <c r="C257" s="118" t="s">
        <v>13</v>
      </c>
      <c r="D257" s="262">
        <v>2013</v>
      </c>
      <c r="E257" s="261">
        <v>0</v>
      </c>
      <c r="F257" s="261">
        <v>0</v>
      </c>
      <c r="G257" s="121">
        <f t="shared" si="31"/>
        <v>0</v>
      </c>
      <c r="H257" s="121">
        <f t="shared" si="33"/>
        <v>0</v>
      </c>
    </row>
    <row r="258" spans="1:8" x14ac:dyDescent="0.2">
      <c r="A258" s="60">
        <f t="shared" si="32"/>
        <v>150</v>
      </c>
      <c r="C258" s="118" t="s">
        <v>391</v>
      </c>
      <c r="D258" s="262">
        <v>2013</v>
      </c>
      <c r="E258" s="261">
        <v>66145833.390000001</v>
      </c>
      <c r="F258" s="261">
        <v>0</v>
      </c>
      <c r="G258" s="121">
        <f t="shared" si="31"/>
        <v>66145833.390000001</v>
      </c>
      <c r="H258" s="121">
        <f t="shared" si="33"/>
        <v>66145833.390000001</v>
      </c>
    </row>
    <row r="259" spans="1:8" x14ac:dyDescent="0.2">
      <c r="A259" s="60">
        <f t="shared" si="32"/>
        <v>151</v>
      </c>
      <c r="C259" s="130" t="s">
        <v>14</v>
      </c>
      <c r="D259" s="262">
        <v>2013</v>
      </c>
      <c r="E259" s="261">
        <v>66263877.370000005</v>
      </c>
      <c r="F259" s="261">
        <v>136993.15793358334</v>
      </c>
      <c r="G259" s="121">
        <f t="shared" si="31"/>
        <v>66126884.212066419</v>
      </c>
      <c r="H259" s="121">
        <f t="shared" si="33"/>
        <v>118043.98000000417</v>
      </c>
    </row>
    <row r="260" spans="1:8" x14ac:dyDescent="0.2">
      <c r="A260" s="60">
        <f t="shared" si="32"/>
        <v>152</v>
      </c>
      <c r="C260" s="118" t="s">
        <v>15</v>
      </c>
      <c r="D260" s="262">
        <v>2013</v>
      </c>
      <c r="E260" s="261">
        <v>67082614.450000003</v>
      </c>
      <c r="F260" s="261">
        <v>274230.79411766666</v>
      </c>
      <c r="G260" s="121">
        <f t="shared" si="31"/>
        <v>66808383.655882336</v>
      </c>
      <c r="H260" s="121">
        <f t="shared" si="33"/>
        <v>818737.07999999821</v>
      </c>
    </row>
    <row r="261" spans="1:8" x14ac:dyDescent="0.2">
      <c r="A261" s="60">
        <f t="shared" si="32"/>
        <v>153</v>
      </c>
      <c r="C261" s="118" t="s">
        <v>16</v>
      </c>
      <c r="D261" s="262">
        <v>2013</v>
      </c>
      <c r="E261" s="261">
        <v>67360933.459999993</v>
      </c>
      <c r="F261" s="261">
        <v>413164.09837808332</v>
      </c>
      <c r="G261" s="121">
        <f t="shared" si="31"/>
        <v>66947769.361621909</v>
      </c>
      <c r="H261" s="121">
        <f t="shared" si="33"/>
        <v>278319.00999999046</v>
      </c>
    </row>
    <row r="262" spans="1:8" x14ac:dyDescent="0.2">
      <c r="A262" s="60">
        <f t="shared" si="32"/>
        <v>154</v>
      </c>
      <c r="C262" s="130" t="s">
        <v>390</v>
      </c>
      <c r="D262" s="262">
        <v>2013</v>
      </c>
      <c r="E262" s="261">
        <v>67534755.840000004</v>
      </c>
      <c r="F262" s="261">
        <v>552673.82292241673</v>
      </c>
      <c r="G262" s="121">
        <f t="shared" si="31"/>
        <v>66982082.017077588</v>
      </c>
      <c r="H262" s="121">
        <f t="shared" si="33"/>
        <v>173822.38000001013</v>
      </c>
    </row>
    <row r="263" spans="1:8" x14ac:dyDescent="0.2">
      <c r="A263" s="60">
        <f t="shared" si="32"/>
        <v>155</v>
      </c>
      <c r="C263" s="130" t="s">
        <v>17</v>
      </c>
      <c r="D263" s="262">
        <v>2013</v>
      </c>
      <c r="E263" s="261">
        <v>67844245.719999999</v>
      </c>
      <c r="F263" s="261">
        <v>692543.54711475002</v>
      </c>
      <c r="G263" s="121">
        <f t="shared" si="31"/>
        <v>67151702.172885254</v>
      </c>
      <c r="H263" s="121">
        <f t="shared" si="33"/>
        <v>309489.87999999523</v>
      </c>
    </row>
    <row r="264" spans="1:8" x14ac:dyDescent="0.2">
      <c r="A264" s="60">
        <f t="shared" si="32"/>
        <v>156</v>
      </c>
      <c r="C264" s="130" t="s">
        <v>9</v>
      </c>
      <c r="D264" s="262">
        <v>2013</v>
      </c>
      <c r="E264" s="261">
        <v>67863922.159999996</v>
      </c>
      <c r="F264" s="261">
        <v>833054.24888425006</v>
      </c>
      <c r="G264" s="121">
        <f t="shared" si="31"/>
        <v>67030867.911115743</v>
      </c>
      <c r="H264" s="121">
        <f t="shared" si="33"/>
        <v>19676.439999997616</v>
      </c>
    </row>
    <row r="266" spans="1:8" x14ac:dyDescent="0.2">
      <c r="C266" s="290" t="s">
        <v>679</v>
      </c>
      <c r="E266" s="129" t="s">
        <v>167</v>
      </c>
      <c r="F266" s="129" t="s">
        <v>168</v>
      </c>
      <c r="G266" s="129" t="s">
        <v>184</v>
      </c>
      <c r="H266" s="129" t="s">
        <v>185</v>
      </c>
    </row>
    <row r="267" spans="1:8" x14ac:dyDescent="0.2">
      <c r="G267" s="266" t="s">
        <v>655</v>
      </c>
      <c r="H267" s="266" t="s">
        <v>667</v>
      </c>
    </row>
    <row r="268" spans="1:8" x14ac:dyDescent="0.2">
      <c r="C268" s="60" t="s">
        <v>646</v>
      </c>
      <c r="H268" s="208" t="s">
        <v>668</v>
      </c>
    </row>
    <row r="269" spans="1:8" x14ac:dyDescent="0.2">
      <c r="C269" s="60" t="s">
        <v>20</v>
      </c>
      <c r="E269" s="60" t="s">
        <v>517</v>
      </c>
      <c r="F269" s="60" t="s">
        <v>669</v>
      </c>
      <c r="G269" s="60" t="s">
        <v>436</v>
      </c>
      <c r="H269" s="60" t="s">
        <v>670</v>
      </c>
    </row>
    <row r="270" spans="1:8" x14ac:dyDescent="0.2">
      <c r="C270" s="128" t="s">
        <v>19</v>
      </c>
      <c r="D270" s="128" t="s">
        <v>20</v>
      </c>
      <c r="E270" s="64" t="s">
        <v>671</v>
      </c>
      <c r="F270" s="64" t="s">
        <v>429</v>
      </c>
      <c r="G270" s="64" t="s">
        <v>636</v>
      </c>
      <c r="H270" s="64" t="s">
        <v>661</v>
      </c>
    </row>
    <row r="271" spans="1:8" x14ac:dyDescent="0.2">
      <c r="A271" s="60">
        <f>A264+1</f>
        <v>157</v>
      </c>
      <c r="C271" s="130" t="s">
        <v>9</v>
      </c>
      <c r="D271" s="478">
        <v>2012</v>
      </c>
      <c r="E271" s="261">
        <v>0</v>
      </c>
      <c r="F271" s="261">
        <v>0</v>
      </c>
      <c r="G271" s="121">
        <f t="shared" ref="G271:G283" si="34">E271-F271</f>
        <v>0</v>
      </c>
      <c r="H271" s="121">
        <f>E271-E271</f>
        <v>0</v>
      </c>
    </row>
    <row r="272" spans="1:8" x14ac:dyDescent="0.2">
      <c r="A272" s="60">
        <f>A271+1</f>
        <v>158</v>
      </c>
      <c r="C272" s="130" t="s">
        <v>10</v>
      </c>
      <c r="D272" s="262">
        <v>2013</v>
      </c>
      <c r="E272" s="261">
        <v>0</v>
      </c>
      <c r="F272" s="261">
        <v>0</v>
      </c>
      <c r="G272" s="121">
        <f t="shared" si="34"/>
        <v>0</v>
      </c>
      <c r="H272" s="121">
        <f>E272-E271</f>
        <v>0</v>
      </c>
    </row>
    <row r="273" spans="1:8" x14ac:dyDescent="0.2">
      <c r="A273" s="60">
        <f t="shared" ref="A273:A283" si="35">A272+1</f>
        <v>159</v>
      </c>
      <c r="C273" s="118" t="s">
        <v>11</v>
      </c>
      <c r="D273" s="262">
        <v>2013</v>
      </c>
      <c r="E273" s="261">
        <v>0</v>
      </c>
      <c r="F273" s="261">
        <v>0</v>
      </c>
      <c r="G273" s="121">
        <f t="shared" si="34"/>
        <v>0</v>
      </c>
      <c r="H273" s="121">
        <f t="shared" ref="H273:H283" si="36">E273-E272</f>
        <v>0</v>
      </c>
    </row>
    <row r="274" spans="1:8" x14ac:dyDescent="0.2">
      <c r="A274" s="60">
        <f t="shared" si="35"/>
        <v>160</v>
      </c>
      <c r="C274" s="118" t="s">
        <v>21</v>
      </c>
      <c r="D274" s="262">
        <v>2013</v>
      </c>
      <c r="E274" s="261">
        <v>0</v>
      </c>
      <c r="F274" s="261">
        <v>0</v>
      </c>
      <c r="G274" s="121">
        <f t="shared" si="34"/>
        <v>0</v>
      </c>
      <c r="H274" s="121">
        <f t="shared" si="36"/>
        <v>0</v>
      </c>
    </row>
    <row r="275" spans="1:8" x14ac:dyDescent="0.2">
      <c r="A275" s="60">
        <f t="shared" si="35"/>
        <v>161</v>
      </c>
      <c r="C275" s="130" t="s">
        <v>12</v>
      </c>
      <c r="D275" s="262">
        <v>2013</v>
      </c>
      <c r="E275" s="261">
        <v>0</v>
      </c>
      <c r="F275" s="261">
        <v>0</v>
      </c>
      <c r="G275" s="121">
        <f t="shared" si="34"/>
        <v>0</v>
      </c>
      <c r="H275" s="121">
        <f t="shared" si="36"/>
        <v>0</v>
      </c>
    </row>
    <row r="276" spans="1:8" x14ac:dyDescent="0.2">
      <c r="A276" s="60">
        <f t="shared" si="35"/>
        <v>162</v>
      </c>
      <c r="C276" s="118" t="s">
        <v>13</v>
      </c>
      <c r="D276" s="262">
        <v>2013</v>
      </c>
      <c r="E276" s="261">
        <v>0</v>
      </c>
      <c r="F276" s="261">
        <v>0</v>
      </c>
      <c r="G276" s="121">
        <f t="shared" si="34"/>
        <v>0</v>
      </c>
      <c r="H276" s="121">
        <f t="shared" si="36"/>
        <v>0</v>
      </c>
    </row>
    <row r="277" spans="1:8" x14ac:dyDescent="0.2">
      <c r="A277" s="60">
        <f t="shared" si="35"/>
        <v>163</v>
      </c>
      <c r="C277" s="118" t="s">
        <v>391</v>
      </c>
      <c r="D277" s="262">
        <v>2013</v>
      </c>
      <c r="E277" s="261">
        <v>0</v>
      </c>
      <c r="F277" s="261">
        <v>0</v>
      </c>
      <c r="G277" s="121">
        <f t="shared" si="34"/>
        <v>0</v>
      </c>
      <c r="H277" s="121">
        <f t="shared" si="36"/>
        <v>0</v>
      </c>
    </row>
    <row r="278" spans="1:8" x14ac:dyDescent="0.2">
      <c r="A278" s="60">
        <f t="shared" si="35"/>
        <v>164</v>
      </c>
      <c r="C278" s="130" t="s">
        <v>14</v>
      </c>
      <c r="D278" s="262">
        <v>2013</v>
      </c>
      <c r="E278" s="261">
        <v>0</v>
      </c>
      <c r="F278" s="261">
        <v>0</v>
      </c>
      <c r="G278" s="121">
        <f t="shared" si="34"/>
        <v>0</v>
      </c>
      <c r="H278" s="121">
        <f t="shared" si="36"/>
        <v>0</v>
      </c>
    </row>
    <row r="279" spans="1:8" x14ac:dyDescent="0.2">
      <c r="A279" s="60">
        <f t="shared" si="35"/>
        <v>165</v>
      </c>
      <c r="C279" s="118" t="s">
        <v>15</v>
      </c>
      <c r="D279" s="262">
        <v>2013</v>
      </c>
      <c r="E279" s="261">
        <v>0</v>
      </c>
      <c r="F279" s="261">
        <v>0</v>
      </c>
      <c r="G279" s="121">
        <f t="shared" si="34"/>
        <v>0</v>
      </c>
      <c r="H279" s="121">
        <f t="shared" si="36"/>
        <v>0</v>
      </c>
    </row>
    <row r="280" spans="1:8" x14ac:dyDescent="0.2">
      <c r="A280" s="60">
        <f t="shared" si="35"/>
        <v>166</v>
      </c>
      <c r="C280" s="118" t="s">
        <v>16</v>
      </c>
      <c r="D280" s="262">
        <v>2013</v>
      </c>
      <c r="E280" s="261">
        <v>0</v>
      </c>
      <c r="F280" s="261">
        <v>0</v>
      </c>
      <c r="G280" s="121">
        <f t="shared" si="34"/>
        <v>0</v>
      </c>
      <c r="H280" s="121">
        <f t="shared" si="36"/>
        <v>0</v>
      </c>
    </row>
    <row r="281" spans="1:8" x14ac:dyDescent="0.2">
      <c r="A281" s="60">
        <f t="shared" si="35"/>
        <v>167</v>
      </c>
      <c r="C281" s="130" t="s">
        <v>390</v>
      </c>
      <c r="D281" s="262">
        <v>2013</v>
      </c>
      <c r="E281" s="261">
        <v>0</v>
      </c>
      <c r="F281" s="261">
        <v>0</v>
      </c>
      <c r="G281" s="121">
        <f t="shared" si="34"/>
        <v>0</v>
      </c>
      <c r="H281" s="121">
        <f t="shared" si="36"/>
        <v>0</v>
      </c>
    </row>
    <row r="282" spans="1:8" x14ac:dyDescent="0.2">
      <c r="A282" s="60">
        <f t="shared" si="35"/>
        <v>168</v>
      </c>
      <c r="C282" s="130" t="s">
        <v>17</v>
      </c>
      <c r="D282" s="262">
        <v>2013</v>
      </c>
      <c r="E282" s="261">
        <v>0</v>
      </c>
      <c r="F282" s="261">
        <v>0</v>
      </c>
      <c r="G282" s="121">
        <f t="shared" si="34"/>
        <v>0</v>
      </c>
      <c r="H282" s="121">
        <f t="shared" si="36"/>
        <v>0</v>
      </c>
    </row>
    <row r="283" spans="1:8" x14ac:dyDescent="0.2">
      <c r="A283" s="60">
        <f t="shared" si="35"/>
        <v>169</v>
      </c>
      <c r="C283" s="130" t="s">
        <v>9</v>
      </c>
      <c r="D283" s="262">
        <v>2013</v>
      </c>
      <c r="E283" s="261">
        <v>0</v>
      </c>
      <c r="F283" s="261">
        <v>0</v>
      </c>
      <c r="G283" s="121">
        <f t="shared" si="34"/>
        <v>0</v>
      </c>
      <c r="H283" s="121">
        <f t="shared" si="36"/>
        <v>0</v>
      </c>
    </row>
    <row r="285" spans="1:8" x14ac:dyDescent="0.2">
      <c r="C285" s="290" t="s">
        <v>680</v>
      </c>
      <c r="E285" s="129" t="s">
        <v>167</v>
      </c>
      <c r="F285" s="129" t="s">
        <v>168</v>
      </c>
      <c r="G285" s="129" t="s">
        <v>184</v>
      </c>
      <c r="H285" s="129" t="s">
        <v>185</v>
      </c>
    </row>
    <row r="286" spans="1:8" x14ac:dyDescent="0.2">
      <c r="G286" s="266" t="s">
        <v>655</v>
      </c>
      <c r="H286" s="266" t="s">
        <v>667</v>
      </c>
    </row>
    <row r="287" spans="1:8" x14ac:dyDescent="0.2">
      <c r="C287" s="60" t="s">
        <v>646</v>
      </c>
      <c r="H287" s="208" t="s">
        <v>668</v>
      </c>
    </row>
    <row r="288" spans="1:8" x14ac:dyDescent="0.2">
      <c r="C288" s="60" t="s">
        <v>20</v>
      </c>
      <c r="E288" s="60" t="s">
        <v>517</v>
      </c>
      <c r="F288" s="60" t="s">
        <v>669</v>
      </c>
      <c r="G288" s="60" t="s">
        <v>436</v>
      </c>
      <c r="H288" s="60" t="s">
        <v>670</v>
      </c>
    </row>
    <row r="289" spans="1:8" x14ac:dyDescent="0.2">
      <c r="C289" s="128" t="s">
        <v>19</v>
      </c>
      <c r="D289" s="128" t="s">
        <v>20</v>
      </c>
      <c r="E289" s="64" t="s">
        <v>671</v>
      </c>
      <c r="F289" s="64" t="s">
        <v>429</v>
      </c>
      <c r="G289" s="64" t="s">
        <v>636</v>
      </c>
      <c r="H289" s="64" t="s">
        <v>661</v>
      </c>
    </row>
    <row r="290" spans="1:8" x14ac:dyDescent="0.2">
      <c r="A290" s="60">
        <f>A283+1</f>
        <v>170</v>
      </c>
      <c r="C290" s="130" t="s">
        <v>9</v>
      </c>
      <c r="D290" s="478">
        <v>2012</v>
      </c>
      <c r="E290" s="261">
        <v>0</v>
      </c>
      <c r="F290" s="261">
        <v>0</v>
      </c>
      <c r="G290" s="121">
        <f t="shared" ref="G290:G302" si="37">E290-F290</f>
        <v>0</v>
      </c>
      <c r="H290" s="121">
        <f>E290-E290</f>
        <v>0</v>
      </c>
    </row>
    <row r="291" spans="1:8" x14ac:dyDescent="0.2">
      <c r="A291" s="60">
        <f>A290+1</f>
        <v>171</v>
      </c>
      <c r="C291" s="130" t="s">
        <v>10</v>
      </c>
      <c r="D291" s="262">
        <v>2013</v>
      </c>
      <c r="E291" s="261">
        <v>0</v>
      </c>
      <c r="F291" s="261">
        <v>0</v>
      </c>
      <c r="G291" s="121">
        <f t="shared" si="37"/>
        <v>0</v>
      </c>
      <c r="H291" s="121">
        <f>E291-E290</f>
        <v>0</v>
      </c>
    </row>
    <row r="292" spans="1:8" x14ac:dyDescent="0.2">
      <c r="A292" s="60">
        <f t="shared" ref="A292:A302" si="38">A291+1</f>
        <v>172</v>
      </c>
      <c r="C292" s="118" t="s">
        <v>11</v>
      </c>
      <c r="D292" s="262">
        <v>2013</v>
      </c>
      <c r="E292" s="261">
        <v>0</v>
      </c>
      <c r="F292" s="261">
        <v>0</v>
      </c>
      <c r="G292" s="121">
        <f t="shared" si="37"/>
        <v>0</v>
      </c>
      <c r="H292" s="121">
        <f t="shared" ref="H292:H302" si="39">E292-E291</f>
        <v>0</v>
      </c>
    </row>
    <row r="293" spans="1:8" x14ac:dyDescent="0.2">
      <c r="A293" s="60">
        <f t="shared" si="38"/>
        <v>173</v>
      </c>
      <c r="C293" s="118" t="s">
        <v>21</v>
      </c>
      <c r="D293" s="262">
        <v>2013</v>
      </c>
      <c r="E293" s="261">
        <v>0</v>
      </c>
      <c r="F293" s="261">
        <v>0</v>
      </c>
      <c r="G293" s="121">
        <f t="shared" si="37"/>
        <v>0</v>
      </c>
      <c r="H293" s="121">
        <f t="shared" si="39"/>
        <v>0</v>
      </c>
    </row>
    <row r="294" spans="1:8" x14ac:dyDescent="0.2">
      <c r="A294" s="60">
        <f t="shared" si="38"/>
        <v>174</v>
      </c>
      <c r="C294" s="130" t="s">
        <v>12</v>
      </c>
      <c r="D294" s="262">
        <v>2013</v>
      </c>
      <c r="E294" s="261">
        <v>0</v>
      </c>
      <c r="F294" s="261">
        <v>0</v>
      </c>
      <c r="G294" s="121">
        <f t="shared" si="37"/>
        <v>0</v>
      </c>
      <c r="H294" s="121">
        <f t="shared" si="39"/>
        <v>0</v>
      </c>
    </row>
    <row r="295" spans="1:8" x14ac:dyDescent="0.2">
      <c r="A295" s="60">
        <f t="shared" si="38"/>
        <v>175</v>
      </c>
      <c r="C295" s="118" t="s">
        <v>13</v>
      </c>
      <c r="D295" s="262">
        <v>2013</v>
      </c>
      <c r="E295" s="261">
        <v>0</v>
      </c>
      <c r="F295" s="261">
        <v>0</v>
      </c>
      <c r="G295" s="121">
        <f t="shared" si="37"/>
        <v>0</v>
      </c>
      <c r="H295" s="121">
        <f t="shared" si="39"/>
        <v>0</v>
      </c>
    </row>
    <row r="296" spans="1:8" x14ac:dyDescent="0.2">
      <c r="A296" s="60">
        <f t="shared" si="38"/>
        <v>176</v>
      </c>
      <c r="C296" s="118" t="s">
        <v>391</v>
      </c>
      <c r="D296" s="262">
        <v>2013</v>
      </c>
      <c r="E296" s="261">
        <v>0</v>
      </c>
      <c r="F296" s="261">
        <v>0</v>
      </c>
      <c r="G296" s="121">
        <f t="shared" si="37"/>
        <v>0</v>
      </c>
      <c r="H296" s="121">
        <f t="shared" si="39"/>
        <v>0</v>
      </c>
    </row>
    <row r="297" spans="1:8" x14ac:dyDescent="0.2">
      <c r="A297" s="60">
        <f t="shared" si="38"/>
        <v>177</v>
      </c>
      <c r="C297" s="130" t="s">
        <v>14</v>
      </c>
      <c r="D297" s="262">
        <v>2013</v>
      </c>
      <c r="E297" s="261">
        <v>0</v>
      </c>
      <c r="F297" s="261">
        <v>0</v>
      </c>
      <c r="G297" s="121">
        <f t="shared" si="37"/>
        <v>0</v>
      </c>
      <c r="H297" s="121">
        <f t="shared" si="39"/>
        <v>0</v>
      </c>
    </row>
    <row r="298" spans="1:8" x14ac:dyDescent="0.2">
      <c r="A298" s="60">
        <f t="shared" si="38"/>
        <v>178</v>
      </c>
      <c r="C298" s="118" t="s">
        <v>15</v>
      </c>
      <c r="D298" s="262">
        <v>2013</v>
      </c>
      <c r="E298" s="261">
        <v>0</v>
      </c>
      <c r="F298" s="261">
        <v>0</v>
      </c>
      <c r="G298" s="121">
        <f t="shared" si="37"/>
        <v>0</v>
      </c>
      <c r="H298" s="121">
        <f t="shared" si="39"/>
        <v>0</v>
      </c>
    </row>
    <row r="299" spans="1:8" x14ac:dyDescent="0.2">
      <c r="A299" s="60">
        <f t="shared" si="38"/>
        <v>179</v>
      </c>
      <c r="C299" s="118" t="s">
        <v>16</v>
      </c>
      <c r="D299" s="262">
        <v>2013</v>
      </c>
      <c r="E299" s="261">
        <v>0</v>
      </c>
      <c r="F299" s="261">
        <v>0</v>
      </c>
      <c r="G299" s="121">
        <f t="shared" si="37"/>
        <v>0</v>
      </c>
      <c r="H299" s="121">
        <f t="shared" si="39"/>
        <v>0</v>
      </c>
    </row>
    <row r="300" spans="1:8" x14ac:dyDescent="0.2">
      <c r="A300" s="60">
        <f t="shared" si="38"/>
        <v>180</v>
      </c>
      <c r="C300" s="130" t="s">
        <v>390</v>
      </c>
      <c r="D300" s="262">
        <v>2013</v>
      </c>
      <c r="E300" s="261">
        <v>0</v>
      </c>
      <c r="F300" s="261">
        <v>0</v>
      </c>
      <c r="G300" s="121">
        <f t="shared" si="37"/>
        <v>0</v>
      </c>
      <c r="H300" s="121">
        <f t="shared" si="39"/>
        <v>0</v>
      </c>
    </row>
    <row r="301" spans="1:8" x14ac:dyDescent="0.2">
      <c r="A301" s="60">
        <f t="shared" si="38"/>
        <v>181</v>
      </c>
      <c r="C301" s="130" t="s">
        <v>17</v>
      </c>
      <c r="D301" s="262">
        <v>2013</v>
      </c>
      <c r="E301" s="261">
        <v>0</v>
      </c>
      <c r="F301" s="261">
        <v>0</v>
      </c>
      <c r="G301" s="121">
        <f t="shared" si="37"/>
        <v>0</v>
      </c>
      <c r="H301" s="121">
        <f t="shared" si="39"/>
        <v>0</v>
      </c>
    </row>
    <row r="302" spans="1:8" x14ac:dyDescent="0.2">
      <c r="A302" s="60">
        <f t="shared" si="38"/>
        <v>182</v>
      </c>
      <c r="C302" s="130" t="s">
        <v>9</v>
      </c>
      <c r="D302" s="262">
        <v>2013</v>
      </c>
      <c r="E302" s="261">
        <v>0</v>
      </c>
      <c r="F302" s="261">
        <v>0</v>
      </c>
      <c r="G302" s="121">
        <f t="shared" si="37"/>
        <v>0</v>
      </c>
      <c r="H302" s="121">
        <f t="shared" si="39"/>
        <v>0</v>
      </c>
    </row>
    <row r="304" spans="1:8" x14ac:dyDescent="0.2">
      <c r="B304" s="56"/>
      <c r="C304" s="56" t="s">
        <v>681</v>
      </c>
      <c r="D304" s="125"/>
      <c r="E304" s="121"/>
    </row>
    <row r="305" spans="1:10" x14ac:dyDescent="0.2">
      <c r="B305" s="56"/>
    </row>
    <row r="306" spans="1:10" x14ac:dyDescent="0.2">
      <c r="C306" s="491" t="s">
        <v>682</v>
      </c>
      <c r="D306" s="112"/>
      <c r="E306" s="112"/>
      <c r="F306" s="112"/>
      <c r="G306" s="477" t="s">
        <v>683</v>
      </c>
      <c r="H306" s="112"/>
      <c r="I306" s="112"/>
      <c r="J306" s="112"/>
    </row>
    <row r="307" spans="1:10" x14ac:dyDescent="0.2">
      <c r="A307" s="60">
        <f>A302+1</f>
        <v>183</v>
      </c>
      <c r="C307" s="492" t="s">
        <v>684</v>
      </c>
      <c r="D307" s="112"/>
      <c r="E307" s="493"/>
      <c r="F307" s="494" t="s">
        <v>685</v>
      </c>
      <c r="G307" s="107" t="s">
        <v>686</v>
      </c>
      <c r="H307" s="112"/>
      <c r="I307" s="112"/>
      <c r="J307" s="112"/>
    </row>
    <row r="308" spans="1:10" x14ac:dyDescent="0.2">
      <c r="A308" s="60">
        <f>A307+1</f>
        <v>184</v>
      </c>
      <c r="C308" s="495" t="s">
        <v>687</v>
      </c>
      <c r="D308" s="112"/>
      <c r="E308" s="496"/>
      <c r="F308" s="497">
        <v>7.4999999999999997E-3</v>
      </c>
      <c r="G308" s="107" t="s">
        <v>688</v>
      </c>
      <c r="H308" s="112"/>
      <c r="I308" s="112"/>
      <c r="J308" s="112"/>
    </row>
    <row r="309" spans="1:10" x14ac:dyDescent="0.2">
      <c r="A309" s="60">
        <f>A308+1</f>
        <v>185</v>
      </c>
      <c r="C309" s="495" t="s">
        <v>689</v>
      </c>
      <c r="D309" s="112"/>
      <c r="E309" s="493"/>
      <c r="F309" s="494" t="s">
        <v>690</v>
      </c>
      <c r="G309" s="498" t="s">
        <v>691</v>
      </c>
      <c r="H309" s="112"/>
      <c r="I309" s="112"/>
      <c r="J309" s="112"/>
    </row>
    <row r="310" spans="1:10" x14ac:dyDescent="0.2">
      <c r="C310" s="112"/>
      <c r="D310" s="112"/>
      <c r="E310" s="493"/>
      <c r="F310" s="499"/>
      <c r="G310" s="112"/>
      <c r="H310" s="112"/>
      <c r="I310" s="112"/>
      <c r="J310" s="112"/>
    </row>
    <row r="311" spans="1:10" x14ac:dyDescent="0.2">
      <c r="C311" s="491" t="s">
        <v>692</v>
      </c>
      <c r="D311" s="112"/>
      <c r="E311" s="112"/>
      <c r="F311" s="499"/>
      <c r="G311" s="477" t="s">
        <v>683</v>
      </c>
      <c r="H311" s="112"/>
      <c r="I311" s="112"/>
      <c r="J311" s="112"/>
    </row>
    <row r="312" spans="1:10" x14ac:dyDescent="0.2">
      <c r="A312" s="60">
        <f>A309+1</f>
        <v>186</v>
      </c>
      <c r="C312" s="492" t="s">
        <v>684</v>
      </c>
      <c r="D312" s="112"/>
      <c r="E312" s="493"/>
      <c r="F312" s="494" t="s">
        <v>685</v>
      </c>
      <c r="G312" s="107" t="s">
        <v>686</v>
      </c>
      <c r="H312" s="112"/>
      <c r="I312" s="112"/>
      <c r="J312" s="112"/>
    </row>
    <row r="313" spans="1:10" x14ac:dyDescent="0.2">
      <c r="A313" s="60">
        <f>A312+1</f>
        <v>187</v>
      </c>
      <c r="C313" s="495" t="s">
        <v>687</v>
      </c>
      <c r="D313" s="112"/>
      <c r="E313" s="496"/>
      <c r="F313" s="497">
        <v>1.2500000000000001E-2</v>
      </c>
      <c r="G313" s="107" t="s">
        <v>688</v>
      </c>
      <c r="H313" s="112"/>
      <c r="I313" s="112"/>
      <c r="J313" s="112"/>
    </row>
    <row r="314" spans="1:10" x14ac:dyDescent="0.2">
      <c r="A314" s="60">
        <f>A313+1</f>
        <v>188</v>
      </c>
      <c r="C314" s="495" t="s">
        <v>689</v>
      </c>
      <c r="D314" s="112"/>
      <c r="E314" s="493"/>
      <c r="F314" s="494" t="s">
        <v>685</v>
      </c>
      <c r="G314" s="107" t="s">
        <v>693</v>
      </c>
      <c r="H314" s="112"/>
      <c r="I314" s="112"/>
      <c r="J314" s="112"/>
    </row>
    <row r="315" spans="1:10" x14ac:dyDescent="0.2">
      <c r="C315" s="495"/>
      <c r="D315" s="112"/>
      <c r="E315" s="493"/>
      <c r="F315" s="494"/>
      <c r="G315" s="112"/>
      <c r="H315" s="112"/>
      <c r="I315" s="112"/>
      <c r="J315" s="112"/>
    </row>
    <row r="316" spans="1:10" x14ac:dyDescent="0.2">
      <c r="C316" s="491" t="s">
        <v>694</v>
      </c>
      <c r="D316" s="112"/>
      <c r="E316" s="107"/>
      <c r="F316" s="500"/>
      <c r="G316" s="477" t="s">
        <v>683</v>
      </c>
      <c r="H316" s="112"/>
      <c r="I316" s="112"/>
      <c r="J316" s="112"/>
    </row>
    <row r="317" spans="1:10" x14ac:dyDescent="0.2">
      <c r="A317" s="60">
        <f>A314+1</f>
        <v>189</v>
      </c>
      <c r="C317" s="492" t="s">
        <v>684</v>
      </c>
      <c r="D317" s="112"/>
      <c r="E317" s="493"/>
      <c r="F317" s="494" t="s">
        <v>685</v>
      </c>
      <c r="G317" s="107" t="s">
        <v>686</v>
      </c>
      <c r="H317" s="112"/>
      <c r="I317" s="112"/>
      <c r="J317" s="112"/>
    </row>
    <row r="318" spans="1:10" x14ac:dyDescent="0.2">
      <c r="A318" s="60">
        <f>A317+1</f>
        <v>190</v>
      </c>
      <c r="C318" s="495" t="s">
        <v>687</v>
      </c>
      <c r="D318" s="112"/>
      <c r="E318" s="496"/>
      <c r="F318" s="497">
        <v>0.01</v>
      </c>
      <c r="G318" s="107" t="s">
        <v>695</v>
      </c>
      <c r="H318" s="112"/>
      <c r="I318" s="112"/>
      <c r="J318" s="112"/>
    </row>
    <row r="319" spans="1:10" x14ac:dyDescent="0.2">
      <c r="A319" s="60">
        <f>A318+1</f>
        <v>191</v>
      </c>
      <c r="C319" s="495"/>
      <c r="D319" s="112"/>
      <c r="E319" s="496"/>
      <c r="F319" s="497"/>
      <c r="G319" s="107" t="s">
        <v>696</v>
      </c>
      <c r="H319" s="112"/>
      <c r="I319" s="112"/>
      <c r="J319" s="112"/>
    </row>
    <row r="320" spans="1:10" x14ac:dyDescent="0.2">
      <c r="A320" s="60">
        <f>A319+1</f>
        <v>192</v>
      </c>
      <c r="C320" s="495" t="s">
        <v>689</v>
      </c>
      <c r="D320" s="112"/>
      <c r="E320" s="493"/>
      <c r="F320" s="494" t="s">
        <v>685</v>
      </c>
      <c r="G320" s="107" t="s">
        <v>693</v>
      </c>
      <c r="H320" s="112"/>
      <c r="I320" s="112"/>
      <c r="J320" s="112"/>
    </row>
    <row r="321" spans="1:10" x14ac:dyDescent="0.2">
      <c r="C321" s="495"/>
      <c r="D321" s="112"/>
      <c r="E321" s="493"/>
      <c r="F321" s="494"/>
      <c r="G321" s="112"/>
      <c r="H321" s="112"/>
      <c r="I321" s="112"/>
      <c r="J321" s="112"/>
    </row>
    <row r="322" spans="1:10" x14ac:dyDescent="0.2">
      <c r="C322" s="491" t="s">
        <v>697</v>
      </c>
      <c r="D322" s="112"/>
      <c r="E322" s="107"/>
      <c r="F322" s="500"/>
      <c r="G322" s="477" t="s">
        <v>683</v>
      </c>
      <c r="H322" s="112"/>
      <c r="I322" s="112"/>
      <c r="J322" s="112"/>
    </row>
    <row r="323" spans="1:10" x14ac:dyDescent="0.2">
      <c r="A323" s="60">
        <f>A320+1</f>
        <v>193</v>
      </c>
      <c r="C323" s="492" t="s">
        <v>684</v>
      </c>
      <c r="D323" s="112"/>
      <c r="E323" s="493"/>
      <c r="F323" s="494" t="s">
        <v>690</v>
      </c>
      <c r="G323" s="107" t="s">
        <v>698</v>
      </c>
      <c r="H323" s="112"/>
      <c r="I323" s="112"/>
      <c r="J323" s="112"/>
    </row>
    <row r="324" spans="1:10" x14ac:dyDescent="0.2">
      <c r="A324" s="60">
        <f>A323+1</f>
        <v>194</v>
      </c>
      <c r="C324" s="492"/>
      <c r="D324" s="112"/>
      <c r="E324" s="493"/>
      <c r="F324" s="494"/>
      <c r="G324" s="112" t="s">
        <v>696</v>
      </c>
      <c r="H324" s="112"/>
      <c r="I324" s="112"/>
      <c r="J324" s="112"/>
    </row>
    <row r="325" spans="1:10" x14ac:dyDescent="0.2">
      <c r="A325" s="60">
        <f>A324+1</f>
        <v>195</v>
      </c>
      <c r="C325" s="495" t="s">
        <v>687</v>
      </c>
      <c r="D325" s="112"/>
      <c r="E325" s="496"/>
      <c r="F325" s="497">
        <v>0</v>
      </c>
      <c r="G325" s="107" t="s">
        <v>699</v>
      </c>
      <c r="H325" s="112"/>
      <c r="I325" s="112"/>
      <c r="J325" s="112"/>
    </row>
    <row r="326" spans="1:10" x14ac:dyDescent="0.2">
      <c r="A326" s="60">
        <f>A325+1</f>
        <v>196</v>
      </c>
      <c r="C326" s="495"/>
      <c r="D326" s="112"/>
      <c r="E326" s="496"/>
      <c r="F326" s="497"/>
      <c r="G326" s="107" t="s">
        <v>700</v>
      </c>
      <c r="H326" s="112"/>
      <c r="I326" s="112"/>
      <c r="J326" s="112"/>
    </row>
    <row r="327" spans="1:10" x14ac:dyDescent="0.2">
      <c r="A327" s="60">
        <f>A326+1</f>
        <v>197</v>
      </c>
      <c r="C327" s="495" t="s">
        <v>689</v>
      </c>
      <c r="D327" s="112"/>
      <c r="E327" s="493"/>
      <c r="F327" s="494" t="s">
        <v>685</v>
      </c>
      <c r="G327" s="107" t="s">
        <v>693</v>
      </c>
      <c r="H327" s="112"/>
      <c r="I327" s="112"/>
      <c r="J327" s="112"/>
    </row>
    <row r="328" spans="1:10" x14ac:dyDescent="0.2">
      <c r="C328" s="495"/>
      <c r="D328" s="112"/>
      <c r="E328" s="493"/>
      <c r="F328" s="494"/>
      <c r="G328" s="112"/>
      <c r="H328" s="112"/>
      <c r="I328" s="112"/>
      <c r="J328" s="112"/>
    </row>
    <row r="329" spans="1:10" x14ac:dyDescent="0.2">
      <c r="C329" s="491" t="s">
        <v>701</v>
      </c>
      <c r="D329" s="112"/>
      <c r="E329" s="112"/>
      <c r="F329" s="494"/>
      <c r="G329" s="477" t="s">
        <v>683</v>
      </c>
      <c r="H329" s="112"/>
      <c r="I329" s="112"/>
      <c r="J329" s="112"/>
    </row>
    <row r="330" spans="1:10" x14ac:dyDescent="0.2">
      <c r="A330" s="60">
        <f>A327+1</f>
        <v>198</v>
      </c>
      <c r="C330" s="492" t="s">
        <v>684</v>
      </c>
      <c r="D330" s="112"/>
      <c r="E330" s="493"/>
      <c r="F330" s="494" t="s">
        <v>685</v>
      </c>
      <c r="G330" s="107" t="s">
        <v>702</v>
      </c>
      <c r="H330" s="112"/>
      <c r="I330" s="112"/>
      <c r="J330" s="112"/>
    </row>
    <row r="331" spans="1:10" x14ac:dyDescent="0.2">
      <c r="A331" s="60">
        <f>A330+1</f>
        <v>199</v>
      </c>
      <c r="C331" s="495" t="s">
        <v>687</v>
      </c>
      <c r="D331" s="112"/>
      <c r="E331" s="496"/>
      <c r="F331" s="497">
        <v>0</v>
      </c>
      <c r="G331" s="107" t="s">
        <v>703</v>
      </c>
      <c r="H331" s="112"/>
      <c r="I331" s="112"/>
      <c r="J331" s="112"/>
    </row>
    <row r="332" spans="1:10" x14ac:dyDescent="0.2">
      <c r="A332" s="60">
        <f>A331+1</f>
        <v>200</v>
      </c>
      <c r="C332" s="495" t="s">
        <v>689</v>
      </c>
      <c r="D332" s="112"/>
      <c r="E332" s="493"/>
      <c r="F332" s="494" t="s">
        <v>685</v>
      </c>
      <c r="G332" s="107" t="s">
        <v>704</v>
      </c>
      <c r="H332" s="112"/>
      <c r="I332" s="112"/>
      <c r="J332" s="112"/>
    </row>
    <row r="333" spans="1:10" x14ac:dyDescent="0.2">
      <c r="C333" s="495"/>
      <c r="D333" s="112"/>
      <c r="E333" s="493"/>
      <c r="F333" s="494"/>
      <c r="G333" s="492"/>
      <c r="H333" s="112"/>
      <c r="I333" s="112"/>
      <c r="J333" s="112"/>
    </row>
    <row r="334" spans="1:10" x14ac:dyDescent="0.2">
      <c r="C334" s="491" t="s">
        <v>705</v>
      </c>
      <c r="D334" s="112"/>
      <c r="E334" s="107"/>
      <c r="F334" s="500"/>
      <c r="G334" s="477" t="s">
        <v>683</v>
      </c>
      <c r="H334" s="112"/>
      <c r="I334" s="112"/>
      <c r="J334" s="112"/>
    </row>
    <row r="335" spans="1:10" x14ac:dyDescent="0.2">
      <c r="A335" s="60">
        <f>A332+1</f>
        <v>201</v>
      </c>
      <c r="C335" s="492" t="s">
        <v>684</v>
      </c>
      <c r="D335" s="112"/>
      <c r="E335" s="493"/>
      <c r="F335" s="494" t="s">
        <v>685</v>
      </c>
      <c r="G335" s="107" t="s">
        <v>706</v>
      </c>
      <c r="H335" s="112"/>
      <c r="I335" s="107"/>
      <c r="J335" s="107"/>
    </row>
    <row r="336" spans="1:10" x14ac:dyDescent="0.2">
      <c r="A336" s="60">
        <f>A335+1</f>
        <v>202</v>
      </c>
      <c r="C336" s="495" t="s">
        <v>687</v>
      </c>
      <c r="D336" s="112"/>
      <c r="E336" s="496"/>
      <c r="F336" s="497">
        <v>0</v>
      </c>
      <c r="G336" s="107" t="s">
        <v>707</v>
      </c>
      <c r="H336" s="112"/>
      <c r="I336" s="107"/>
      <c r="J336" s="107"/>
    </row>
    <row r="337" spans="1:10" x14ac:dyDescent="0.2">
      <c r="A337" s="60">
        <f>A336+1</f>
        <v>203</v>
      </c>
      <c r="C337" s="495" t="s">
        <v>689</v>
      </c>
      <c r="D337" s="112"/>
      <c r="E337" s="493"/>
      <c r="F337" s="494" t="s">
        <v>685</v>
      </c>
      <c r="G337" s="107" t="s">
        <v>708</v>
      </c>
      <c r="H337" s="112"/>
      <c r="I337" s="107"/>
      <c r="J337" s="107"/>
    </row>
    <row r="338" spans="1:10" x14ac:dyDescent="0.2">
      <c r="C338" s="495"/>
      <c r="D338" s="112"/>
      <c r="E338" s="496"/>
      <c r="F338" s="497"/>
      <c r="G338" s="107"/>
      <c r="H338" s="112"/>
      <c r="I338" s="107"/>
      <c r="J338" s="107"/>
    </row>
    <row r="339" spans="1:10" x14ac:dyDescent="0.2">
      <c r="C339" s="491" t="s">
        <v>709</v>
      </c>
      <c r="D339" s="112"/>
      <c r="E339" s="107"/>
      <c r="F339" s="500"/>
      <c r="G339" s="477" t="s">
        <v>683</v>
      </c>
      <c r="H339" s="112"/>
      <c r="I339" s="107"/>
      <c r="J339" s="107"/>
    </row>
    <row r="340" spans="1:10" x14ac:dyDescent="0.2">
      <c r="A340" s="60">
        <f>A337+1</f>
        <v>204</v>
      </c>
      <c r="C340" s="492" t="s">
        <v>684</v>
      </c>
      <c r="D340" s="112"/>
      <c r="E340" s="493"/>
      <c r="F340" s="494" t="s">
        <v>685</v>
      </c>
      <c r="G340" s="107" t="s">
        <v>706</v>
      </c>
      <c r="H340" s="112"/>
      <c r="I340" s="107"/>
      <c r="J340" s="107"/>
    </row>
    <row r="341" spans="1:10" x14ac:dyDescent="0.2">
      <c r="A341" s="60">
        <f>A340+1</f>
        <v>205</v>
      </c>
      <c r="C341" s="495" t="s">
        <v>687</v>
      </c>
      <c r="D341" s="112"/>
      <c r="E341" s="496"/>
      <c r="F341" s="497">
        <v>0</v>
      </c>
      <c r="G341" s="107" t="s">
        <v>707</v>
      </c>
      <c r="H341" s="112"/>
      <c r="I341" s="107"/>
      <c r="J341" s="107"/>
    </row>
    <row r="342" spans="1:10" x14ac:dyDescent="0.2">
      <c r="A342" s="60">
        <f>A341+1</f>
        <v>206</v>
      </c>
      <c r="C342" s="495" t="s">
        <v>689</v>
      </c>
      <c r="D342" s="112"/>
      <c r="E342" s="493"/>
      <c r="F342" s="494" t="s">
        <v>685</v>
      </c>
      <c r="G342" s="107" t="s">
        <v>708</v>
      </c>
      <c r="H342" s="112"/>
      <c r="I342" s="107"/>
      <c r="J342" s="107"/>
    </row>
    <row r="343" spans="1:10" x14ac:dyDescent="0.2">
      <c r="C343" s="112"/>
      <c r="D343" s="112"/>
      <c r="E343" s="112"/>
      <c r="F343" s="494"/>
      <c r="G343" s="112"/>
      <c r="H343" s="112"/>
      <c r="I343" s="112"/>
      <c r="J343" s="112"/>
    </row>
    <row r="344" spans="1:10" x14ac:dyDescent="0.2">
      <c r="C344" s="491" t="s">
        <v>710</v>
      </c>
      <c r="D344" s="112"/>
      <c r="E344" s="107"/>
      <c r="F344" s="500"/>
      <c r="G344" s="477" t="s">
        <v>683</v>
      </c>
      <c r="H344" s="112"/>
      <c r="I344" s="112"/>
      <c r="J344" s="112"/>
    </row>
    <row r="345" spans="1:10" x14ac:dyDescent="0.2">
      <c r="A345" s="60">
        <f>A342+1</f>
        <v>207</v>
      </c>
      <c r="C345" s="492" t="s">
        <v>684</v>
      </c>
      <c r="D345" s="112"/>
      <c r="E345" s="493"/>
      <c r="F345" s="494" t="s">
        <v>685</v>
      </c>
      <c r="G345" s="501" t="s">
        <v>711</v>
      </c>
      <c r="H345" s="112"/>
      <c r="I345" s="112"/>
      <c r="J345" s="112"/>
    </row>
    <row r="346" spans="1:10" x14ac:dyDescent="0.2">
      <c r="A346" s="60">
        <f>A345+1</f>
        <v>208</v>
      </c>
      <c r="C346" s="495" t="s">
        <v>687</v>
      </c>
      <c r="D346" s="112"/>
      <c r="E346" s="496"/>
      <c r="F346" s="497">
        <v>0</v>
      </c>
      <c r="G346" s="502" t="s">
        <v>344</v>
      </c>
      <c r="H346" s="112"/>
      <c r="I346" s="112"/>
      <c r="J346" s="112"/>
    </row>
    <row r="347" spans="1:10" x14ac:dyDescent="0.2">
      <c r="A347" s="60">
        <f>A346+1</f>
        <v>209</v>
      </c>
      <c r="C347" s="495" t="s">
        <v>689</v>
      </c>
      <c r="D347" s="112"/>
      <c r="E347" s="493"/>
      <c r="F347" s="494" t="s">
        <v>685</v>
      </c>
      <c r="G347" s="501" t="s">
        <v>711</v>
      </c>
      <c r="H347" s="112"/>
      <c r="I347" s="112"/>
      <c r="J347" s="112"/>
    </row>
    <row r="348" spans="1:10" x14ac:dyDescent="0.2">
      <c r="C348" s="112"/>
      <c r="D348" s="112"/>
      <c r="E348" s="112"/>
      <c r="F348" s="494"/>
      <c r="G348" s="112"/>
      <c r="H348" s="112"/>
      <c r="I348" s="112"/>
      <c r="J348" s="112"/>
    </row>
    <row r="349" spans="1:10" x14ac:dyDescent="0.2">
      <c r="C349" s="491" t="s">
        <v>712</v>
      </c>
      <c r="D349" s="112"/>
      <c r="E349" s="107"/>
      <c r="F349" s="500"/>
      <c r="G349" s="477" t="s">
        <v>683</v>
      </c>
      <c r="H349" s="112"/>
      <c r="I349" s="112"/>
      <c r="J349" s="112"/>
    </row>
    <row r="350" spans="1:10" x14ac:dyDescent="0.2">
      <c r="A350" s="60">
        <f>A347+1</f>
        <v>210</v>
      </c>
      <c r="C350" s="492" t="s">
        <v>684</v>
      </c>
      <c r="D350" s="112"/>
      <c r="E350" s="493"/>
      <c r="F350" s="494" t="s">
        <v>685</v>
      </c>
      <c r="G350" s="501" t="s">
        <v>711</v>
      </c>
      <c r="H350" s="112"/>
      <c r="I350" s="112"/>
      <c r="J350" s="112"/>
    </row>
    <row r="351" spans="1:10" x14ac:dyDescent="0.2">
      <c r="A351" s="60">
        <f>A350+1</f>
        <v>211</v>
      </c>
      <c r="C351" s="495" t="s">
        <v>687</v>
      </c>
      <c r="D351" s="112"/>
      <c r="E351" s="496"/>
      <c r="F351" s="497">
        <v>0</v>
      </c>
      <c r="G351" s="502" t="s">
        <v>344</v>
      </c>
      <c r="H351" s="112"/>
      <c r="I351" s="112"/>
      <c r="J351" s="112"/>
    </row>
    <row r="352" spans="1:10" x14ac:dyDescent="0.2">
      <c r="A352" s="60">
        <f>A351+1</f>
        <v>212</v>
      </c>
      <c r="C352" s="495" t="s">
        <v>689</v>
      </c>
      <c r="D352" s="112"/>
      <c r="E352" s="493"/>
      <c r="F352" s="494" t="s">
        <v>685</v>
      </c>
      <c r="G352" s="501" t="s">
        <v>711</v>
      </c>
      <c r="H352" s="112"/>
      <c r="I352" s="112"/>
      <c r="J352" s="112"/>
    </row>
    <row r="353" spans="1:10" x14ac:dyDescent="0.2">
      <c r="C353" s="112"/>
      <c r="D353" s="112"/>
      <c r="E353" s="112"/>
      <c r="F353" s="494"/>
      <c r="G353" s="112"/>
      <c r="H353" s="112"/>
      <c r="I353" s="112"/>
      <c r="J353" s="112"/>
    </row>
    <row r="354" spans="1:10" x14ac:dyDescent="0.2">
      <c r="C354" s="491" t="s">
        <v>713</v>
      </c>
      <c r="D354" s="112"/>
      <c r="E354" s="107"/>
      <c r="F354" s="500"/>
      <c r="G354" s="477" t="s">
        <v>683</v>
      </c>
      <c r="H354" s="112"/>
      <c r="I354" s="112"/>
      <c r="J354" s="112"/>
    </row>
    <row r="355" spans="1:10" x14ac:dyDescent="0.2">
      <c r="A355" s="60">
        <f>A352+1</f>
        <v>213</v>
      </c>
      <c r="C355" s="492" t="s">
        <v>684</v>
      </c>
      <c r="D355" s="112"/>
      <c r="E355" s="493"/>
      <c r="F355" s="494" t="s">
        <v>685</v>
      </c>
      <c r="G355" s="501" t="s">
        <v>711</v>
      </c>
      <c r="H355" s="112"/>
      <c r="I355" s="112"/>
      <c r="J355" s="112"/>
    </row>
    <row r="356" spans="1:10" x14ac:dyDescent="0.2">
      <c r="A356" s="60">
        <f>A355+1</f>
        <v>214</v>
      </c>
      <c r="C356" s="495" t="s">
        <v>687</v>
      </c>
      <c r="D356" s="112"/>
      <c r="E356" s="496"/>
      <c r="F356" s="497">
        <v>0</v>
      </c>
      <c r="G356" s="502" t="s">
        <v>344</v>
      </c>
      <c r="H356" s="112"/>
      <c r="I356" s="112"/>
      <c r="J356" s="112"/>
    </row>
    <row r="357" spans="1:10" x14ac:dyDescent="0.2">
      <c r="A357" s="60">
        <f>A356+1</f>
        <v>215</v>
      </c>
      <c r="C357" s="495" t="s">
        <v>689</v>
      </c>
      <c r="D357" s="112"/>
      <c r="E357" s="493"/>
      <c r="F357" s="494" t="s">
        <v>685</v>
      </c>
      <c r="G357" s="501" t="s">
        <v>711</v>
      </c>
      <c r="H357" s="112"/>
      <c r="I357" s="112"/>
      <c r="J357" s="112"/>
    </row>
    <row r="358" spans="1:10" x14ac:dyDescent="0.2">
      <c r="C358" s="112"/>
      <c r="D358" s="112"/>
      <c r="E358" s="112"/>
      <c r="F358" s="494"/>
      <c r="G358" s="112"/>
      <c r="H358" s="112"/>
      <c r="I358" s="112"/>
      <c r="J358" s="112"/>
    </row>
    <row r="359" spans="1:10" x14ac:dyDescent="0.2">
      <c r="C359" s="491" t="s">
        <v>714</v>
      </c>
      <c r="D359" s="112"/>
      <c r="E359" s="107"/>
      <c r="F359" s="500"/>
      <c r="G359" s="477" t="s">
        <v>683</v>
      </c>
      <c r="H359" s="112"/>
      <c r="I359" s="112"/>
      <c r="J359" s="112"/>
    </row>
    <row r="360" spans="1:10" x14ac:dyDescent="0.2">
      <c r="A360" s="60">
        <f>A357+1</f>
        <v>216</v>
      </c>
      <c r="C360" s="492" t="s">
        <v>684</v>
      </c>
      <c r="D360" s="112"/>
      <c r="E360" s="493"/>
      <c r="F360" s="494" t="s">
        <v>685</v>
      </c>
      <c r="G360" s="501" t="s">
        <v>711</v>
      </c>
      <c r="H360" s="112"/>
      <c r="I360" s="112"/>
      <c r="J360" s="112"/>
    </row>
    <row r="361" spans="1:10" x14ac:dyDescent="0.2">
      <c r="A361" s="60">
        <f>A360+1</f>
        <v>217</v>
      </c>
      <c r="C361" s="495" t="s">
        <v>687</v>
      </c>
      <c r="D361" s="112"/>
      <c r="E361" s="496"/>
      <c r="F361" s="497">
        <v>0</v>
      </c>
      <c r="G361" s="502" t="s">
        <v>344</v>
      </c>
      <c r="H361" s="112"/>
      <c r="I361" s="112"/>
      <c r="J361" s="112"/>
    </row>
    <row r="362" spans="1:10" x14ac:dyDescent="0.2">
      <c r="A362" s="60">
        <f>A361+1</f>
        <v>218</v>
      </c>
      <c r="C362" s="495" t="s">
        <v>689</v>
      </c>
      <c r="D362" s="112"/>
      <c r="E362" s="493"/>
      <c r="F362" s="494" t="s">
        <v>685</v>
      </c>
      <c r="G362" s="501" t="s">
        <v>711</v>
      </c>
      <c r="H362" s="112"/>
      <c r="I362" s="112"/>
      <c r="J362" s="112"/>
    </row>
    <row r="363" spans="1:10" x14ac:dyDescent="0.2">
      <c r="C363" s="112"/>
      <c r="D363" s="112"/>
      <c r="E363" s="112"/>
      <c r="F363" s="112"/>
      <c r="G363" s="112"/>
      <c r="H363" s="112"/>
      <c r="I363" s="112"/>
      <c r="J363" s="112"/>
    </row>
    <row r="364" spans="1:10" x14ac:dyDescent="0.2">
      <c r="C364" s="503" t="s">
        <v>715</v>
      </c>
      <c r="D364" s="112"/>
      <c r="E364" s="112"/>
      <c r="F364" s="112"/>
      <c r="G364" s="477" t="s">
        <v>683</v>
      </c>
      <c r="H364" s="112"/>
      <c r="I364" s="112"/>
      <c r="J364" s="112"/>
    </row>
    <row r="365" spans="1:10" x14ac:dyDescent="0.2">
      <c r="A365" s="60">
        <f>A362+1</f>
        <v>219</v>
      </c>
      <c r="C365" s="492" t="s">
        <v>684</v>
      </c>
      <c r="D365" s="112"/>
      <c r="E365" s="112"/>
      <c r="F365" s="112"/>
      <c r="G365" s="112"/>
      <c r="H365" s="112"/>
      <c r="I365" s="112"/>
      <c r="J365" s="112"/>
    </row>
    <row r="366" spans="1:10" x14ac:dyDescent="0.2">
      <c r="A366" s="60">
        <f>A365+1</f>
        <v>220</v>
      </c>
      <c r="C366" s="495" t="s">
        <v>687</v>
      </c>
      <c r="D366" s="112"/>
      <c r="E366" s="112"/>
      <c r="F366" s="112"/>
      <c r="G366" s="112"/>
      <c r="H366" s="112"/>
      <c r="I366" s="112"/>
      <c r="J366" s="112"/>
    </row>
    <row r="367" spans="1:10" x14ac:dyDescent="0.2">
      <c r="A367" s="60">
        <f>A366+1</f>
        <v>221</v>
      </c>
      <c r="C367" s="495" t="s">
        <v>689</v>
      </c>
      <c r="D367" s="112"/>
      <c r="E367" s="112"/>
      <c r="F367" s="112"/>
      <c r="G367" s="112"/>
      <c r="H367" s="112"/>
      <c r="I367" s="112"/>
      <c r="J367" s="112"/>
    </row>
    <row r="368" spans="1:10" x14ac:dyDescent="0.2">
      <c r="C368" s="504" t="s">
        <v>235</v>
      </c>
    </row>
    <row r="370" spans="2:3" x14ac:dyDescent="0.2">
      <c r="B370" s="89" t="s">
        <v>118</v>
      </c>
    </row>
    <row r="371" spans="2:3" x14ac:dyDescent="0.2">
      <c r="C371" s="124" t="s">
        <v>716</v>
      </c>
    </row>
    <row r="372" spans="2:3" x14ac:dyDescent="0.2">
      <c r="C372" t="s">
        <v>717</v>
      </c>
    </row>
  </sheetData>
  <pageMargins left="0.75" right="0.75" top="1" bottom="1" header="0.5" footer="0.5"/>
  <pageSetup scale="70" orientation="portrait" cellComments="asDisplayed" r:id="rId1"/>
  <headerFooter alignWithMargins="0">
    <oddHeader>&amp;CSchedule 14
Incentive Plant
(Revised 2013 True Up TRR)&amp;RTO10 Draft Annual Update
Attachment 4
WP-Schedule 3-One Time Adj &amp; True Up Adj
Page &amp;P of &amp;N</oddHeader>
    <oddFooter>&amp;R&amp;A</oddFooter>
  </headerFooter>
  <rowBreaks count="5" manualBreakCount="5">
    <brk id="66" max="16383" man="1"/>
    <brk id="131" max="16383" man="1"/>
    <brk id="189" max="16383" man="1"/>
    <brk id="246" max="16383" man="1"/>
    <brk id="30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AN204"/>
  <sheetViews>
    <sheetView zoomScaleNormal="100" workbookViewId="0">
      <selection activeCell="E18" sqref="E18"/>
    </sheetView>
  </sheetViews>
  <sheetFormatPr defaultColWidth="9.140625" defaultRowHeight="12.75" x14ac:dyDescent="0.2"/>
  <cols>
    <col min="1" max="1" width="4.7109375" style="315" customWidth="1"/>
    <col min="2" max="2" width="6" style="315" customWidth="1"/>
    <col min="3" max="3" width="15.7109375" style="315" customWidth="1"/>
    <col min="4" max="4" width="9.140625" style="315" customWidth="1"/>
    <col min="5" max="6" width="14.7109375" style="315" customWidth="1"/>
    <col min="7" max="7" width="16" style="315" bestFit="1" customWidth="1"/>
    <col min="8" max="8" width="18.28515625" style="315" customWidth="1"/>
    <col min="9" max="10" width="15.7109375" style="315" customWidth="1"/>
    <col min="11" max="11" width="16.85546875" style="315" customWidth="1"/>
    <col min="12" max="16" width="15.7109375" style="315" customWidth="1"/>
    <col min="17" max="17" width="2.85546875" style="315" customWidth="1"/>
    <col min="18" max="21" width="18.7109375" style="315" customWidth="1"/>
    <col min="22" max="22" width="15.7109375" style="315" customWidth="1"/>
    <col min="23" max="23" width="20.85546875" style="315" bestFit="1" customWidth="1"/>
    <col min="24" max="40" width="15.7109375" style="315" customWidth="1"/>
    <col min="41" max="16384" width="9.140625" style="315"/>
  </cols>
  <sheetData>
    <row r="1" spans="1:40" x14ac:dyDescent="0.2">
      <c r="A1" s="146" t="s">
        <v>417</v>
      </c>
    </row>
    <row r="2" spans="1:40" x14ac:dyDescent="0.2">
      <c r="F2" s="316" t="s">
        <v>418</v>
      </c>
      <c r="G2" s="316"/>
    </row>
    <row r="3" spans="1:40" x14ac:dyDescent="0.2">
      <c r="B3" s="146" t="s">
        <v>419</v>
      </c>
    </row>
    <row r="4" spans="1:40" x14ac:dyDescent="0.2">
      <c r="B4" s="146" t="s">
        <v>420</v>
      </c>
    </row>
    <row r="5" spans="1:40" x14ac:dyDescent="0.2">
      <c r="B5" s="146" t="s">
        <v>421</v>
      </c>
    </row>
    <row r="6" spans="1:40" x14ac:dyDescent="0.2">
      <c r="B6" s="146"/>
    </row>
    <row r="7" spans="1:40" x14ac:dyDescent="0.2">
      <c r="B7" s="145" t="s">
        <v>422</v>
      </c>
      <c r="H7" s="146"/>
      <c r="I7" s="146"/>
    </row>
    <row r="8" spans="1:40" x14ac:dyDescent="0.2">
      <c r="B8" s="146"/>
      <c r="E8" s="317" t="s">
        <v>167</v>
      </c>
      <c r="F8" s="317" t="s">
        <v>168</v>
      </c>
      <c r="G8" s="317" t="s">
        <v>184</v>
      </c>
      <c r="H8" s="317" t="s">
        <v>185</v>
      </c>
      <c r="I8" s="317" t="s">
        <v>186</v>
      </c>
      <c r="J8" s="317" t="s">
        <v>187</v>
      </c>
      <c r="K8" s="317" t="s">
        <v>188</v>
      </c>
      <c r="L8" s="317" t="s">
        <v>350</v>
      </c>
      <c r="M8" s="317" t="s">
        <v>404</v>
      </c>
      <c r="N8" s="317" t="s">
        <v>403</v>
      </c>
      <c r="O8" s="317" t="s">
        <v>402</v>
      </c>
      <c r="P8" s="317" t="s">
        <v>401</v>
      </c>
      <c r="T8" s="317"/>
      <c r="U8" s="317"/>
      <c r="X8" s="318"/>
      <c r="Y8" s="318"/>
      <c r="Z8" s="318"/>
      <c r="AA8" s="318"/>
      <c r="AB8" s="318"/>
      <c r="AC8" s="318"/>
      <c r="AD8" s="318"/>
      <c r="AE8" s="318"/>
      <c r="AF8" s="318"/>
      <c r="AG8" s="318"/>
      <c r="AH8" s="318"/>
      <c r="AI8" s="318"/>
      <c r="AJ8" s="318"/>
      <c r="AK8" s="318"/>
      <c r="AL8" s="318"/>
      <c r="AM8" s="318"/>
      <c r="AN8" s="318"/>
    </row>
    <row r="9" spans="1:40" x14ac:dyDescent="0.2">
      <c r="B9" s="146"/>
      <c r="E9" s="319" t="s">
        <v>293</v>
      </c>
      <c r="F9" s="319" t="s">
        <v>293</v>
      </c>
      <c r="G9" s="319" t="s">
        <v>293</v>
      </c>
      <c r="H9" s="319" t="s">
        <v>293</v>
      </c>
      <c r="I9" s="319" t="s">
        <v>293</v>
      </c>
      <c r="J9" s="319" t="s">
        <v>293</v>
      </c>
      <c r="K9" s="319" t="s">
        <v>293</v>
      </c>
      <c r="L9" s="319" t="s">
        <v>293</v>
      </c>
      <c r="M9" s="319" t="s">
        <v>293</v>
      </c>
      <c r="N9" s="319" t="s">
        <v>293</v>
      </c>
      <c r="O9" s="319" t="s">
        <v>293</v>
      </c>
      <c r="P9" s="319" t="s">
        <v>293</v>
      </c>
      <c r="Q9" s="320"/>
    </row>
    <row r="10" spans="1:40" x14ac:dyDescent="0.2">
      <c r="C10" s="321" t="s">
        <v>382</v>
      </c>
      <c r="E10" s="321" t="s">
        <v>387</v>
      </c>
      <c r="F10" s="321"/>
      <c r="G10" s="321"/>
      <c r="H10" s="322"/>
      <c r="I10" s="322" t="s">
        <v>423</v>
      </c>
      <c r="J10" s="322"/>
      <c r="K10" s="322"/>
      <c r="L10" s="322"/>
      <c r="M10" s="322"/>
      <c r="O10" s="321" t="s">
        <v>387</v>
      </c>
      <c r="P10" s="321" t="s">
        <v>424</v>
      </c>
      <c r="T10" s="322"/>
      <c r="U10" s="322"/>
      <c r="X10" s="322"/>
      <c r="Y10" s="322"/>
      <c r="Z10" s="322"/>
      <c r="AA10" s="322"/>
      <c r="AB10" s="322"/>
      <c r="AC10" s="322"/>
      <c r="AD10" s="322"/>
      <c r="AE10" s="322"/>
      <c r="AF10" s="322"/>
      <c r="AG10" s="322"/>
      <c r="AH10" s="322"/>
      <c r="AI10" s="322"/>
      <c r="AJ10" s="322"/>
      <c r="AK10" s="322"/>
      <c r="AL10" s="322"/>
      <c r="AM10" s="322"/>
      <c r="AN10" s="322"/>
    </row>
    <row r="11" spans="1:40" x14ac:dyDescent="0.2">
      <c r="B11" s="145"/>
      <c r="C11" s="321" t="s">
        <v>425</v>
      </c>
      <c r="E11" s="321" t="s">
        <v>169</v>
      </c>
      <c r="F11" s="321" t="s">
        <v>384</v>
      </c>
      <c r="G11" s="322" t="s">
        <v>383</v>
      </c>
      <c r="H11" s="322" t="s">
        <v>426</v>
      </c>
      <c r="I11" s="322" t="s">
        <v>427</v>
      </c>
      <c r="J11" s="322"/>
      <c r="K11" s="322" t="s">
        <v>428</v>
      </c>
      <c r="L11" s="322" t="s">
        <v>429</v>
      </c>
      <c r="M11" s="322" t="s">
        <v>428</v>
      </c>
      <c r="O11" s="322" t="s">
        <v>430</v>
      </c>
      <c r="P11" s="322" t="s">
        <v>430</v>
      </c>
      <c r="T11" s="322"/>
      <c r="U11" s="322"/>
      <c r="X11" s="322"/>
      <c r="Y11" s="322"/>
      <c r="Z11" s="322"/>
      <c r="AA11" s="322"/>
      <c r="AB11" s="322"/>
      <c r="AC11" s="322"/>
      <c r="AD11" s="322"/>
      <c r="AE11" s="322"/>
      <c r="AF11" s="322"/>
      <c r="AG11" s="322"/>
      <c r="AH11" s="322"/>
      <c r="AI11" s="322"/>
      <c r="AJ11" s="322"/>
      <c r="AK11" s="322"/>
      <c r="AL11" s="322"/>
      <c r="AM11" s="322"/>
      <c r="AN11" s="322"/>
    </row>
    <row r="12" spans="1:40" x14ac:dyDescent="0.2">
      <c r="A12" s="323" t="s">
        <v>170</v>
      </c>
      <c r="C12" s="128" t="s">
        <v>19</v>
      </c>
      <c r="D12" s="128" t="s">
        <v>20</v>
      </c>
      <c r="E12" s="318" t="s">
        <v>359</v>
      </c>
      <c r="F12" s="318" t="s">
        <v>377</v>
      </c>
      <c r="G12" s="324" t="s">
        <v>376</v>
      </c>
      <c r="H12" s="324" t="s">
        <v>431</v>
      </c>
      <c r="I12" s="324" t="s">
        <v>432</v>
      </c>
      <c r="J12" s="324" t="s">
        <v>423</v>
      </c>
      <c r="K12" s="324" t="s">
        <v>433</v>
      </c>
      <c r="L12" s="324" t="s">
        <v>434</v>
      </c>
      <c r="M12" s="324" t="s">
        <v>435</v>
      </c>
      <c r="N12" s="324" t="s">
        <v>436</v>
      </c>
      <c r="O12" s="324" t="s">
        <v>432</v>
      </c>
      <c r="P12" s="324" t="s">
        <v>432</v>
      </c>
      <c r="T12" s="324"/>
      <c r="U12" s="324"/>
      <c r="V12" s="324"/>
      <c r="W12" s="324"/>
      <c r="X12" s="324"/>
      <c r="Y12" s="324"/>
      <c r="Z12" s="324"/>
      <c r="AA12" s="324"/>
      <c r="AB12" s="324"/>
      <c r="AC12" s="324"/>
      <c r="AD12" s="324"/>
      <c r="AE12" s="324"/>
      <c r="AF12" s="324"/>
      <c r="AG12" s="324"/>
      <c r="AH12" s="324"/>
      <c r="AI12" s="324"/>
      <c r="AJ12" s="324"/>
      <c r="AK12" s="324"/>
      <c r="AL12" s="324"/>
      <c r="AM12" s="324"/>
      <c r="AN12" s="324"/>
    </row>
    <row r="13" spans="1:40" x14ac:dyDescent="0.2">
      <c r="A13" s="321">
        <v>1</v>
      </c>
      <c r="C13" s="315" t="str">
        <f>C45</f>
        <v>January</v>
      </c>
      <c r="D13" s="325">
        <v>2014</v>
      </c>
      <c r="E13" s="332">
        <f t="shared" ref="E13:P28" si="0">E45+E76</f>
        <v>17589832.153094009</v>
      </c>
      <c r="F13" s="332">
        <f t="shared" si="0"/>
        <v>6951533.1100000031</v>
      </c>
      <c r="G13" s="327">
        <f t="shared" si="0"/>
        <v>797872.42823205027</v>
      </c>
      <c r="H13" s="327">
        <f t="shared" si="0"/>
        <v>411060.33378608443</v>
      </c>
      <c r="I13" s="327">
        <f t="shared" si="0"/>
        <v>4727193.838539971</v>
      </c>
      <c r="J13" s="327">
        <f t="shared" si="0"/>
        <v>141815.81515619913</v>
      </c>
      <c r="K13" s="332">
        <f t="shared" si="0"/>
        <v>18118460.062696174</v>
      </c>
      <c r="L13" s="327">
        <f t="shared" si="0"/>
        <v>0</v>
      </c>
      <c r="M13" s="327">
        <f t="shared" si="0"/>
        <v>0</v>
      </c>
      <c r="N13" s="332">
        <f t="shared" si="0"/>
        <v>18118460.062696174</v>
      </c>
      <c r="O13" s="327">
        <f t="shared" si="0"/>
        <v>44771.166666666664</v>
      </c>
      <c r="P13" s="327">
        <f t="shared" si="0"/>
        <v>45514.368033333332</v>
      </c>
      <c r="T13" s="328"/>
      <c r="U13" s="328"/>
      <c r="V13" s="329"/>
      <c r="W13" s="328"/>
      <c r="X13" s="330"/>
      <c r="Y13" s="331"/>
      <c r="Z13" s="328"/>
      <c r="AA13" s="328"/>
      <c r="AB13" s="328"/>
      <c r="AC13" s="328"/>
      <c r="AD13" s="328"/>
      <c r="AE13" s="328"/>
      <c r="AF13" s="328"/>
      <c r="AG13" s="328"/>
      <c r="AH13" s="328"/>
      <c r="AI13" s="328"/>
      <c r="AJ13" s="328"/>
      <c r="AK13" s="328"/>
      <c r="AL13" s="328"/>
      <c r="AM13" s="328"/>
      <c r="AN13" s="328"/>
    </row>
    <row r="14" spans="1:40" x14ac:dyDescent="0.2">
      <c r="A14" s="321">
        <f>A13+1</f>
        <v>2</v>
      </c>
      <c r="C14" s="315" t="str">
        <f t="shared" ref="C14:C36" si="1">C46</f>
        <v>February</v>
      </c>
      <c r="D14" s="325">
        <v>2014</v>
      </c>
      <c r="E14" s="327">
        <f t="shared" si="0"/>
        <v>7805258.5530940043</v>
      </c>
      <c r="F14" s="327">
        <f t="shared" si="0"/>
        <v>0</v>
      </c>
      <c r="G14" s="327">
        <f t="shared" si="0"/>
        <v>585394.3914820503</v>
      </c>
      <c r="H14" s="327">
        <f t="shared" si="0"/>
        <v>411060.33378608443</v>
      </c>
      <c r="I14" s="327">
        <f t="shared" si="0"/>
        <v>4727193.838539971</v>
      </c>
      <c r="J14" s="327">
        <f t="shared" si="0"/>
        <v>141815.81515619913</v>
      </c>
      <c r="K14" s="332">
        <f t="shared" si="0"/>
        <v>26239868.488642342</v>
      </c>
      <c r="L14" s="332">
        <f t="shared" si="0"/>
        <v>37997.287728321637</v>
      </c>
      <c r="M14" s="332">
        <f t="shared" si="0"/>
        <v>37997.287728321637</v>
      </c>
      <c r="N14" s="332">
        <f t="shared" si="0"/>
        <v>26201871.200914018</v>
      </c>
      <c r="O14" s="327">
        <f t="shared" si="0"/>
        <v>89542.333333333328</v>
      </c>
      <c r="P14" s="327">
        <f t="shared" si="0"/>
        <v>91028.736066666665</v>
      </c>
      <c r="T14" s="328"/>
      <c r="U14" s="328"/>
      <c r="V14" s="329"/>
      <c r="W14" s="328"/>
      <c r="X14" s="330"/>
      <c r="Y14" s="331"/>
      <c r="Z14" s="328"/>
      <c r="AA14" s="328"/>
      <c r="AB14" s="328"/>
      <c r="AC14" s="328"/>
      <c r="AD14" s="328"/>
      <c r="AE14" s="328"/>
      <c r="AF14" s="328"/>
      <c r="AG14" s="328"/>
      <c r="AH14" s="328"/>
      <c r="AI14" s="328"/>
      <c r="AJ14" s="328"/>
      <c r="AK14" s="328"/>
      <c r="AL14" s="328"/>
      <c r="AM14" s="328"/>
      <c r="AN14" s="328"/>
    </row>
    <row r="15" spans="1:40" x14ac:dyDescent="0.2">
      <c r="A15" s="321">
        <f t="shared" ref="A15:A37" si="2">A14+1</f>
        <v>3</v>
      </c>
      <c r="C15" s="315" t="str">
        <f t="shared" si="1"/>
        <v>March</v>
      </c>
      <c r="D15" s="325">
        <v>2014</v>
      </c>
      <c r="E15" s="327">
        <f t="shared" si="0"/>
        <v>297990792.10309398</v>
      </c>
      <c r="F15" s="327">
        <f t="shared" si="0"/>
        <v>281373196.04999995</v>
      </c>
      <c r="G15" s="327">
        <f t="shared" si="0"/>
        <v>1246319.7039820496</v>
      </c>
      <c r="H15" s="327">
        <f t="shared" si="0"/>
        <v>413640.33378608437</v>
      </c>
      <c r="I15" s="327">
        <f t="shared" si="0"/>
        <v>4756863.8385399701</v>
      </c>
      <c r="J15" s="327">
        <f t="shared" si="0"/>
        <v>142705.9151561991</v>
      </c>
      <c r="K15" s="332">
        <f t="shared" si="0"/>
        <v>325206045.87708843</v>
      </c>
      <c r="L15" s="332">
        <f t="shared" si="0"/>
        <v>55029.170772027253</v>
      </c>
      <c r="M15" s="332">
        <f t="shared" si="0"/>
        <v>93026.45850034889</v>
      </c>
      <c r="N15" s="332">
        <f t="shared" si="0"/>
        <v>325113019.4185881</v>
      </c>
      <c r="O15" s="327">
        <f t="shared" si="0"/>
        <v>134313.5</v>
      </c>
      <c r="P15" s="327">
        <f t="shared" si="0"/>
        <v>136543.1041</v>
      </c>
      <c r="T15" s="328"/>
      <c r="U15" s="328"/>
      <c r="V15" s="329"/>
      <c r="W15" s="328"/>
      <c r="X15" s="330"/>
      <c r="Y15" s="331"/>
      <c r="Z15" s="328"/>
      <c r="AA15" s="328"/>
      <c r="AB15" s="328"/>
      <c r="AC15" s="328"/>
      <c r="AD15" s="328"/>
      <c r="AE15" s="328"/>
      <c r="AF15" s="328"/>
      <c r="AG15" s="328"/>
      <c r="AH15" s="328"/>
      <c r="AI15" s="328"/>
      <c r="AJ15" s="328"/>
      <c r="AK15" s="328"/>
      <c r="AL15" s="328"/>
      <c r="AM15" s="328"/>
      <c r="AN15" s="328"/>
    </row>
    <row r="16" spans="1:40" x14ac:dyDescent="0.2">
      <c r="A16" s="321">
        <f t="shared" si="2"/>
        <v>4</v>
      </c>
      <c r="C16" s="315" t="str">
        <f t="shared" si="1"/>
        <v>April</v>
      </c>
      <c r="D16" s="325">
        <v>2014</v>
      </c>
      <c r="E16" s="327">
        <f t="shared" si="0"/>
        <v>31277056.387094006</v>
      </c>
      <c r="F16" s="327">
        <f t="shared" si="0"/>
        <v>8599896.7839999981</v>
      </c>
      <c r="G16" s="327">
        <f t="shared" si="0"/>
        <v>1700786.9702320502</v>
      </c>
      <c r="H16" s="327">
        <f t="shared" si="0"/>
        <v>419584.65378608444</v>
      </c>
      <c r="I16" s="327">
        <f t="shared" si="0"/>
        <v>4825223.5185399707</v>
      </c>
      <c r="J16" s="327">
        <f t="shared" si="0"/>
        <v>144756.70555619913</v>
      </c>
      <c r="K16" s="332">
        <f t="shared" si="0"/>
        <v>357909061.28618455</v>
      </c>
      <c r="L16" s="332">
        <f t="shared" si="0"/>
        <v>682008.7167133498</v>
      </c>
      <c r="M16" s="332">
        <f t="shared" si="0"/>
        <v>775035.17521369865</v>
      </c>
      <c r="N16" s="332">
        <f t="shared" si="0"/>
        <v>357134026.11097091</v>
      </c>
      <c r="O16" s="327">
        <f t="shared" si="0"/>
        <v>179084.66666666666</v>
      </c>
      <c r="P16" s="327">
        <f t="shared" si="0"/>
        <v>182057.47213333333</v>
      </c>
      <c r="T16" s="328"/>
      <c r="U16" s="328"/>
      <c r="V16" s="329"/>
      <c r="W16" s="328"/>
      <c r="X16" s="330"/>
      <c r="Y16" s="331"/>
      <c r="Z16" s="328"/>
      <c r="AA16" s="328"/>
      <c r="AB16" s="328"/>
      <c r="AC16" s="328"/>
      <c r="AD16" s="328"/>
      <c r="AE16" s="328"/>
      <c r="AF16" s="328"/>
      <c r="AG16" s="328"/>
      <c r="AH16" s="328"/>
      <c r="AI16" s="328"/>
      <c r="AJ16" s="328"/>
      <c r="AK16" s="328"/>
      <c r="AL16" s="328"/>
      <c r="AM16" s="328"/>
      <c r="AN16" s="328"/>
    </row>
    <row r="17" spans="1:40" x14ac:dyDescent="0.2">
      <c r="A17" s="321">
        <f t="shared" si="2"/>
        <v>5</v>
      </c>
      <c r="C17" s="315" t="str">
        <f t="shared" si="1"/>
        <v>May</v>
      </c>
      <c r="D17" s="325">
        <v>2014</v>
      </c>
      <c r="E17" s="327">
        <f t="shared" si="0"/>
        <v>15419014.993094005</v>
      </c>
      <c r="F17" s="327">
        <f t="shared" si="0"/>
        <v>437793.67000000057</v>
      </c>
      <c r="G17" s="327">
        <f t="shared" si="0"/>
        <v>1123591.5992320501</v>
      </c>
      <c r="H17" s="327">
        <f t="shared" si="0"/>
        <v>583060.33378608432</v>
      </c>
      <c r="I17" s="327">
        <f t="shared" si="0"/>
        <v>6705193.8385399701</v>
      </c>
      <c r="J17" s="327">
        <f t="shared" si="0"/>
        <v>201155.8151561991</v>
      </c>
      <c r="K17" s="332">
        <f t="shared" si="0"/>
        <v>374069763.35988075</v>
      </c>
      <c r="L17" s="332">
        <f t="shared" si="0"/>
        <v>750592.13284161035</v>
      </c>
      <c r="M17" s="332">
        <f t="shared" si="0"/>
        <v>1525627.3080553089</v>
      </c>
      <c r="N17" s="332">
        <f t="shared" si="0"/>
        <v>372544136.0518254</v>
      </c>
      <c r="O17" s="327">
        <f t="shared" si="0"/>
        <v>223855.83333333331</v>
      </c>
      <c r="P17" s="327">
        <f t="shared" si="0"/>
        <v>227571.84016666666</v>
      </c>
      <c r="T17" s="328"/>
      <c r="U17" s="328"/>
      <c r="V17" s="329"/>
      <c r="W17" s="328"/>
      <c r="X17" s="330"/>
      <c r="Y17" s="331"/>
      <c r="Z17" s="328"/>
      <c r="AA17" s="328"/>
      <c r="AB17" s="328"/>
      <c r="AC17" s="328"/>
      <c r="AD17" s="328"/>
      <c r="AE17" s="328"/>
      <c r="AF17" s="328"/>
      <c r="AG17" s="328"/>
      <c r="AH17" s="328"/>
      <c r="AI17" s="328"/>
      <c r="AJ17" s="328"/>
      <c r="AK17" s="328"/>
      <c r="AL17" s="328"/>
      <c r="AM17" s="328"/>
      <c r="AN17" s="328"/>
    </row>
    <row r="18" spans="1:40" x14ac:dyDescent="0.2">
      <c r="A18" s="321">
        <f t="shared" si="2"/>
        <v>6</v>
      </c>
      <c r="C18" s="315" t="str">
        <f t="shared" si="1"/>
        <v xml:space="preserve">June </v>
      </c>
      <c r="D18" s="325">
        <v>2014</v>
      </c>
      <c r="E18" s="327">
        <f t="shared" si="0"/>
        <v>16124556.726894006</v>
      </c>
      <c r="F18" s="327">
        <f t="shared" si="0"/>
        <v>1199375.4037999983</v>
      </c>
      <c r="G18" s="327">
        <f t="shared" si="0"/>
        <v>1119388.5992320506</v>
      </c>
      <c r="H18" s="327">
        <f t="shared" si="0"/>
        <v>487080.89378608466</v>
      </c>
      <c r="I18" s="327">
        <f t="shared" si="0"/>
        <v>5601430.2785399733</v>
      </c>
      <c r="J18" s="327">
        <f t="shared" si="0"/>
        <v>168042.90835619919</v>
      </c>
      <c r="K18" s="332">
        <f t="shared" si="0"/>
        <v>390994670.7005769</v>
      </c>
      <c r="L18" s="332">
        <f t="shared" si="0"/>
        <v>784483.69120038068</v>
      </c>
      <c r="M18" s="332">
        <f t="shared" si="0"/>
        <v>2310110.9992556898</v>
      </c>
      <c r="N18" s="332">
        <f t="shared" si="0"/>
        <v>388684559.70132124</v>
      </c>
      <c r="O18" s="327">
        <f t="shared" si="0"/>
        <v>1359687.2300000002</v>
      </c>
      <c r="P18" s="327">
        <f t="shared" si="0"/>
        <v>1382258.0380180003</v>
      </c>
      <c r="T18" s="328"/>
      <c r="U18" s="328"/>
      <c r="V18" s="329"/>
      <c r="W18" s="328"/>
      <c r="X18" s="330"/>
      <c r="Y18" s="331"/>
      <c r="Z18" s="328"/>
      <c r="AA18" s="328"/>
      <c r="AB18" s="328"/>
      <c r="AC18" s="328"/>
      <c r="AD18" s="328"/>
      <c r="AE18" s="328"/>
      <c r="AF18" s="328"/>
      <c r="AG18" s="328"/>
      <c r="AH18" s="328"/>
      <c r="AI18" s="328"/>
      <c r="AJ18" s="328"/>
      <c r="AK18" s="328"/>
      <c r="AL18" s="328"/>
      <c r="AM18" s="328"/>
      <c r="AN18" s="328"/>
    </row>
    <row r="19" spans="1:40" x14ac:dyDescent="0.2">
      <c r="A19" s="321">
        <f t="shared" si="2"/>
        <v>7</v>
      </c>
      <c r="C19" s="315" t="str">
        <f t="shared" si="1"/>
        <v>July</v>
      </c>
      <c r="D19" s="325">
        <v>2014</v>
      </c>
      <c r="E19" s="327">
        <f t="shared" si="0"/>
        <v>40107480.493094005</v>
      </c>
      <c r="F19" s="327">
        <f t="shared" si="0"/>
        <v>26788873.030000005</v>
      </c>
      <c r="G19" s="327">
        <f t="shared" si="0"/>
        <v>998895.55973205017</v>
      </c>
      <c r="H19" s="327">
        <f t="shared" si="0"/>
        <v>468852.33378608408</v>
      </c>
      <c r="I19" s="327">
        <f t="shared" si="0"/>
        <v>5391801.8385399664</v>
      </c>
      <c r="J19" s="327">
        <f t="shared" si="0"/>
        <v>161754.055156199</v>
      </c>
      <c r="K19" s="332">
        <f t="shared" si="0"/>
        <v>431793948.47477311</v>
      </c>
      <c r="L19" s="332">
        <f t="shared" si="0"/>
        <v>819977.90934995096</v>
      </c>
      <c r="M19" s="332">
        <f t="shared" si="0"/>
        <v>3130088.9086056408</v>
      </c>
      <c r="N19" s="332">
        <f t="shared" si="0"/>
        <v>428663859.56616747</v>
      </c>
      <c r="O19" s="327">
        <f t="shared" si="0"/>
        <v>1404458.396666667</v>
      </c>
      <c r="P19" s="327">
        <f t="shared" si="0"/>
        <v>1427772.4060513338</v>
      </c>
      <c r="T19" s="328"/>
      <c r="U19" s="328"/>
      <c r="V19" s="329"/>
      <c r="W19" s="328"/>
      <c r="X19" s="330"/>
      <c r="Y19" s="331"/>
      <c r="Z19" s="328"/>
      <c r="AA19" s="328"/>
      <c r="AB19" s="328"/>
      <c r="AC19" s="328"/>
      <c r="AD19" s="328"/>
      <c r="AE19" s="328"/>
      <c r="AF19" s="328"/>
      <c r="AG19" s="328"/>
      <c r="AH19" s="328"/>
      <c r="AI19" s="328"/>
      <c r="AJ19" s="328"/>
      <c r="AK19" s="328"/>
      <c r="AL19" s="328"/>
      <c r="AM19" s="328"/>
      <c r="AN19" s="328"/>
    </row>
    <row r="20" spans="1:40" x14ac:dyDescent="0.2">
      <c r="A20" s="321">
        <f t="shared" si="2"/>
        <v>8</v>
      </c>
      <c r="C20" s="315" t="str">
        <f t="shared" si="1"/>
        <v>August</v>
      </c>
      <c r="D20" s="325">
        <v>2014</v>
      </c>
      <c r="E20" s="327">
        <f t="shared" si="0"/>
        <v>13585195.353094004</v>
      </c>
      <c r="F20" s="327">
        <f t="shared" si="0"/>
        <v>732974.02999999945</v>
      </c>
      <c r="G20" s="327">
        <f t="shared" si="0"/>
        <v>963916.59923205036</v>
      </c>
      <c r="H20" s="327">
        <f t="shared" si="0"/>
        <v>462660.33378608443</v>
      </c>
      <c r="I20" s="327">
        <f t="shared" si="0"/>
        <v>5320593.838539971</v>
      </c>
      <c r="J20" s="327">
        <f t="shared" si="0"/>
        <v>159617.81515619913</v>
      </c>
      <c r="K20" s="332">
        <f t="shared" si="0"/>
        <v>446040017.90846926</v>
      </c>
      <c r="L20" s="332">
        <f t="shared" si="0"/>
        <v>905540.47323945409</v>
      </c>
      <c r="M20" s="332">
        <f t="shared" si="0"/>
        <v>4035629.3818450947</v>
      </c>
      <c r="N20" s="332">
        <f t="shared" si="0"/>
        <v>442004388.52662414</v>
      </c>
      <c r="O20" s="327">
        <f t="shared" si="0"/>
        <v>2782203.5933333328</v>
      </c>
      <c r="P20" s="327">
        <f t="shared" si="0"/>
        <v>2828388.1729826662</v>
      </c>
      <c r="T20" s="328"/>
      <c r="U20" s="328"/>
      <c r="V20" s="329"/>
      <c r="W20" s="328"/>
      <c r="X20" s="330"/>
      <c r="Y20" s="331"/>
      <c r="Z20" s="328"/>
      <c r="AA20" s="328"/>
      <c r="AB20" s="328"/>
      <c r="AC20" s="328"/>
      <c r="AD20" s="328"/>
      <c r="AE20" s="328"/>
      <c r="AF20" s="328"/>
      <c r="AG20" s="328"/>
      <c r="AH20" s="328"/>
      <c r="AI20" s="328"/>
      <c r="AJ20" s="328"/>
      <c r="AK20" s="328"/>
      <c r="AL20" s="328"/>
      <c r="AM20" s="328"/>
      <c r="AN20" s="328"/>
    </row>
    <row r="21" spans="1:40" x14ac:dyDescent="0.2">
      <c r="A21" s="321">
        <f t="shared" si="2"/>
        <v>9</v>
      </c>
      <c r="C21" s="315" t="str">
        <f t="shared" si="1"/>
        <v>September</v>
      </c>
      <c r="D21" s="325">
        <v>2014</v>
      </c>
      <c r="E21" s="327">
        <f t="shared" si="0"/>
        <v>173455983.16309401</v>
      </c>
      <c r="F21" s="327">
        <f t="shared" si="0"/>
        <v>103931553.92999996</v>
      </c>
      <c r="G21" s="327">
        <f t="shared" si="0"/>
        <v>5214332.1924820542</v>
      </c>
      <c r="H21" s="327">
        <f t="shared" si="0"/>
        <v>4987278.5737860892</v>
      </c>
      <c r="I21" s="327">
        <f t="shared" si="0"/>
        <v>57353703.598540023</v>
      </c>
      <c r="J21" s="327">
        <f t="shared" si="0"/>
        <v>1720611.1079562006</v>
      </c>
      <c r="K21" s="332">
        <f t="shared" si="0"/>
        <v>621443665.79821539</v>
      </c>
      <c r="L21" s="332">
        <f t="shared" si="0"/>
        <v>935416.7429332732</v>
      </c>
      <c r="M21" s="332">
        <f t="shared" si="0"/>
        <v>4971046.1247783676</v>
      </c>
      <c r="N21" s="332">
        <f t="shared" si="0"/>
        <v>616472619.67343712</v>
      </c>
      <c r="O21" s="327">
        <f t="shared" si="0"/>
        <v>2826974.76</v>
      </c>
      <c r="P21" s="327">
        <f t="shared" si="0"/>
        <v>2873902.5410159999</v>
      </c>
      <c r="T21" s="328"/>
      <c r="U21" s="328"/>
      <c r="V21" s="329"/>
      <c r="W21" s="328"/>
      <c r="X21" s="330"/>
      <c r="Y21" s="331"/>
      <c r="Z21" s="328"/>
      <c r="AA21" s="328"/>
      <c r="AB21" s="328"/>
      <c r="AC21" s="328"/>
      <c r="AD21" s="328"/>
      <c r="AE21" s="328"/>
      <c r="AF21" s="328"/>
      <c r="AG21" s="328"/>
      <c r="AH21" s="328"/>
      <c r="AI21" s="328"/>
      <c r="AJ21" s="328"/>
      <c r="AK21" s="328"/>
      <c r="AL21" s="328"/>
      <c r="AM21" s="328"/>
      <c r="AN21" s="328"/>
    </row>
    <row r="22" spans="1:40" x14ac:dyDescent="0.2">
      <c r="A22" s="321">
        <f t="shared" si="2"/>
        <v>10</v>
      </c>
      <c r="C22" s="315" t="str">
        <f t="shared" si="1"/>
        <v xml:space="preserve">October </v>
      </c>
      <c r="D22" s="325">
        <v>2014</v>
      </c>
      <c r="E22" s="327">
        <f t="shared" si="0"/>
        <v>26889239.373093873</v>
      </c>
      <c r="F22" s="327">
        <f t="shared" si="0"/>
        <v>10774195.049999921</v>
      </c>
      <c r="G22" s="327">
        <f t="shared" si="0"/>
        <v>1208628.3242320465</v>
      </c>
      <c r="H22" s="327">
        <f t="shared" si="0"/>
        <v>510375.11178607994</v>
      </c>
      <c r="I22" s="327">
        <f t="shared" si="0"/>
        <v>5869313.7855399195</v>
      </c>
      <c r="J22" s="327">
        <f t="shared" si="0"/>
        <v>176079.41356619759</v>
      </c>
      <c r="K22" s="332">
        <f t="shared" si="0"/>
        <v>649207237.79732144</v>
      </c>
      <c r="L22" s="332">
        <f t="shared" si="0"/>
        <v>1303266.0443861096</v>
      </c>
      <c r="M22" s="332">
        <f t="shared" si="0"/>
        <v>6274312.1691644778</v>
      </c>
      <c r="N22" s="332">
        <f t="shared" si="0"/>
        <v>642932925.62815702</v>
      </c>
      <c r="O22" s="327">
        <f t="shared" si="0"/>
        <v>2871745.9266666663</v>
      </c>
      <c r="P22" s="327">
        <f t="shared" si="0"/>
        <v>2919416.9090493326</v>
      </c>
      <c r="T22" s="328"/>
      <c r="U22" s="328"/>
      <c r="V22" s="329"/>
      <c r="W22" s="328"/>
      <c r="X22" s="330"/>
      <c r="Y22" s="331"/>
      <c r="Z22" s="328"/>
      <c r="AA22" s="328"/>
      <c r="AB22" s="328"/>
      <c r="AC22" s="328"/>
      <c r="AD22" s="328"/>
      <c r="AE22" s="328"/>
      <c r="AF22" s="328"/>
      <c r="AG22" s="328"/>
      <c r="AH22" s="328"/>
      <c r="AI22" s="328"/>
      <c r="AJ22" s="328"/>
      <c r="AK22" s="328"/>
      <c r="AL22" s="328"/>
      <c r="AM22" s="328"/>
      <c r="AN22" s="328"/>
    </row>
    <row r="23" spans="1:40" x14ac:dyDescent="0.2">
      <c r="A23" s="321">
        <f t="shared" si="2"/>
        <v>11</v>
      </c>
      <c r="C23" s="315" t="str">
        <f t="shared" si="1"/>
        <v>November</v>
      </c>
      <c r="D23" s="325">
        <v>2014</v>
      </c>
      <c r="E23" s="327">
        <f t="shared" si="0"/>
        <v>16984221.32309401</v>
      </c>
      <c r="F23" s="327">
        <f t="shared" si="0"/>
        <v>0</v>
      </c>
      <c r="G23" s="327">
        <f t="shared" si="0"/>
        <v>1273816.5992320508</v>
      </c>
      <c r="H23" s="327">
        <f t="shared" si="0"/>
        <v>411060.3337860849</v>
      </c>
      <c r="I23" s="327">
        <f t="shared" si="0"/>
        <v>4727193.8385399757</v>
      </c>
      <c r="J23" s="327">
        <f t="shared" si="0"/>
        <v>141815.81515619927</v>
      </c>
      <c r="K23" s="332">
        <f t="shared" si="0"/>
        <v>667196031.20101762</v>
      </c>
      <c r="L23" s="332">
        <f t="shared" si="0"/>
        <v>1361490.6633639666</v>
      </c>
      <c r="M23" s="332">
        <f t="shared" si="0"/>
        <v>7635802.8325284449</v>
      </c>
      <c r="N23" s="332">
        <f t="shared" si="0"/>
        <v>659560228.36848915</v>
      </c>
      <c r="O23" s="327">
        <f t="shared" si="0"/>
        <v>2916517.0933333333</v>
      </c>
      <c r="P23" s="327">
        <f t="shared" si="0"/>
        <v>2964931.2770826663</v>
      </c>
      <c r="T23" s="328"/>
      <c r="U23" s="328"/>
      <c r="V23" s="329"/>
      <c r="W23" s="328"/>
      <c r="X23" s="330"/>
      <c r="Y23" s="331"/>
      <c r="Z23" s="328"/>
      <c r="AA23" s="328"/>
      <c r="AB23" s="328"/>
      <c r="AC23" s="328"/>
      <c r="AD23" s="328"/>
      <c r="AE23" s="328"/>
      <c r="AF23" s="328"/>
      <c r="AG23" s="328"/>
      <c r="AH23" s="328"/>
      <c r="AI23" s="328"/>
      <c r="AJ23" s="328"/>
      <c r="AK23" s="328"/>
      <c r="AL23" s="328"/>
      <c r="AM23" s="328"/>
      <c r="AN23" s="328"/>
    </row>
    <row r="24" spans="1:40" x14ac:dyDescent="0.2">
      <c r="A24" s="321">
        <f t="shared" si="2"/>
        <v>12</v>
      </c>
      <c r="C24" s="315" t="str">
        <f t="shared" si="1"/>
        <v>December</v>
      </c>
      <c r="D24" s="325">
        <v>2014</v>
      </c>
      <c r="E24" s="327">
        <f t="shared" si="0"/>
        <v>181013472.04109403</v>
      </c>
      <c r="F24" s="327">
        <f t="shared" si="0"/>
        <v>79386991.056000024</v>
      </c>
      <c r="G24" s="327">
        <f t="shared" si="0"/>
        <v>7621986.0738820499</v>
      </c>
      <c r="H24" s="327">
        <f t="shared" si="0"/>
        <v>5744419.8037260836</v>
      </c>
      <c r="I24" s="327">
        <f t="shared" si="0"/>
        <v>66060827.742849953</v>
      </c>
      <c r="J24" s="327">
        <f t="shared" si="0"/>
        <v>1981824.8322854985</v>
      </c>
      <c r="K24" s="332">
        <f t="shared" si="0"/>
        <v>852068894.34455311</v>
      </c>
      <c r="L24" s="332">
        <f t="shared" si="0"/>
        <v>1399216.0195189789</v>
      </c>
      <c r="M24" s="332">
        <f t="shared" si="0"/>
        <v>9035018.8520474229</v>
      </c>
      <c r="N24" s="332">
        <f t="shared" si="0"/>
        <v>843033875.49250567</v>
      </c>
      <c r="O24" s="327">
        <f t="shared" si="0"/>
        <v>2961288.2600000002</v>
      </c>
      <c r="P24" s="327">
        <f t="shared" si="0"/>
        <v>3010445.645116</v>
      </c>
      <c r="T24" s="328"/>
      <c r="U24" s="328"/>
      <c r="V24" s="329"/>
      <c r="W24" s="328"/>
      <c r="X24" s="330"/>
      <c r="Y24" s="331"/>
      <c r="Z24" s="328"/>
      <c r="AA24" s="328"/>
      <c r="AB24" s="328"/>
      <c r="AC24" s="328"/>
      <c r="AD24" s="328"/>
      <c r="AE24" s="328"/>
      <c r="AF24" s="328"/>
      <c r="AG24" s="328"/>
      <c r="AH24" s="328"/>
      <c r="AI24" s="328"/>
      <c r="AJ24" s="328"/>
      <c r="AK24" s="328"/>
      <c r="AL24" s="328"/>
      <c r="AM24" s="328"/>
      <c r="AN24" s="328"/>
    </row>
    <row r="25" spans="1:40" x14ac:dyDescent="0.2">
      <c r="A25" s="321">
        <f t="shared" si="2"/>
        <v>13</v>
      </c>
      <c r="C25" s="315" t="str">
        <f t="shared" si="1"/>
        <v>January</v>
      </c>
      <c r="D25" s="325">
        <v>2015</v>
      </c>
      <c r="E25" s="327">
        <f t="shared" si="0"/>
        <v>207457480.20624641</v>
      </c>
      <c r="F25" s="327">
        <f t="shared" si="0"/>
        <v>122158503.50999999</v>
      </c>
      <c r="G25" s="327">
        <f t="shared" si="0"/>
        <v>6397423.2522184812</v>
      </c>
      <c r="H25" s="327">
        <f t="shared" si="0"/>
        <v>843147.02498519304</v>
      </c>
      <c r="I25" s="327">
        <f t="shared" si="0"/>
        <v>9696190.7873297203</v>
      </c>
      <c r="J25" s="327">
        <f t="shared" si="0"/>
        <v>290885.72361989162</v>
      </c>
      <c r="K25" s="332">
        <f t="shared" si="0"/>
        <v>1065371536.5016527</v>
      </c>
      <c r="L25" s="332">
        <f t="shared" si="0"/>
        <v>1786923.7689477797</v>
      </c>
      <c r="M25" s="332">
        <f t="shared" si="0"/>
        <v>10821942.620995205</v>
      </c>
      <c r="N25" s="332">
        <f t="shared" si="0"/>
        <v>1054549593.8806574</v>
      </c>
      <c r="O25" s="327">
        <f t="shared" si="0"/>
        <v>2961288.2600000002</v>
      </c>
      <c r="P25" s="327">
        <f t="shared" si="0"/>
        <v>3010445.645116</v>
      </c>
      <c r="T25" s="328"/>
      <c r="U25" s="328"/>
      <c r="V25" s="329"/>
      <c r="W25" s="328"/>
      <c r="X25" s="330"/>
      <c r="Y25" s="331"/>
      <c r="Z25" s="328"/>
      <c r="AA25" s="328"/>
      <c r="AB25" s="328"/>
      <c r="AC25" s="328"/>
      <c r="AD25" s="328"/>
      <c r="AE25" s="328"/>
      <c r="AF25" s="328"/>
      <c r="AG25" s="328"/>
      <c r="AH25" s="328"/>
      <c r="AI25" s="328"/>
      <c r="AJ25" s="328"/>
      <c r="AK25" s="328"/>
      <c r="AL25" s="328"/>
      <c r="AM25" s="328"/>
      <c r="AN25" s="328"/>
    </row>
    <row r="26" spans="1:40" x14ac:dyDescent="0.2">
      <c r="A26" s="321">
        <f t="shared" si="2"/>
        <v>14</v>
      </c>
      <c r="C26" s="315" t="str">
        <f t="shared" si="1"/>
        <v>February</v>
      </c>
      <c r="D26" s="325">
        <v>2015</v>
      </c>
      <c r="E26" s="327">
        <f t="shared" si="0"/>
        <v>17907132.0309131</v>
      </c>
      <c r="F26" s="327">
        <f t="shared" si="0"/>
        <v>2453680.1900000009</v>
      </c>
      <c r="G26" s="327">
        <f t="shared" si="0"/>
        <v>1159008.8880684823</v>
      </c>
      <c r="H26" s="327">
        <f t="shared" si="0"/>
        <v>843147.02498519304</v>
      </c>
      <c r="I26" s="327">
        <f t="shared" si="0"/>
        <v>9696190.7873297203</v>
      </c>
      <c r="J26" s="327">
        <f t="shared" si="0"/>
        <v>290885.72361989162</v>
      </c>
      <c r="K26" s="332">
        <f t="shared" si="0"/>
        <v>1083885416.1192689</v>
      </c>
      <c r="L26" s="332">
        <f t="shared" si="0"/>
        <v>2234253.2792488039</v>
      </c>
      <c r="M26" s="332">
        <f t="shared" si="0"/>
        <v>13056195.900244007</v>
      </c>
      <c r="N26" s="332">
        <f t="shared" si="0"/>
        <v>1070829220.2190249</v>
      </c>
      <c r="O26" s="327">
        <f t="shared" si="0"/>
        <v>2961288.2600000002</v>
      </c>
      <c r="P26" s="327">
        <f t="shared" si="0"/>
        <v>3010445.645116</v>
      </c>
      <c r="T26" s="328"/>
      <c r="U26" s="328"/>
      <c r="V26" s="329"/>
      <c r="W26" s="328"/>
      <c r="X26" s="330"/>
      <c r="Y26" s="331"/>
      <c r="Z26" s="328"/>
      <c r="AA26" s="328"/>
      <c r="AB26" s="328"/>
      <c r="AC26" s="328"/>
      <c r="AD26" s="328"/>
      <c r="AE26" s="328"/>
      <c r="AF26" s="328"/>
      <c r="AG26" s="328"/>
      <c r="AH26" s="328"/>
      <c r="AI26" s="328"/>
      <c r="AJ26" s="328"/>
      <c r="AK26" s="328"/>
      <c r="AL26" s="328"/>
      <c r="AM26" s="328"/>
      <c r="AN26" s="328"/>
    </row>
    <row r="27" spans="1:40" x14ac:dyDescent="0.2">
      <c r="A27" s="321">
        <f t="shared" si="2"/>
        <v>15</v>
      </c>
      <c r="C27" s="315" t="str">
        <f t="shared" si="1"/>
        <v>March</v>
      </c>
      <c r="D27" s="325">
        <v>2015</v>
      </c>
      <c r="E27" s="327">
        <f t="shared" si="0"/>
        <v>17334451.840913035</v>
      </c>
      <c r="F27" s="327">
        <f t="shared" si="0"/>
        <v>0</v>
      </c>
      <c r="G27" s="327">
        <f t="shared" si="0"/>
        <v>1300083.8880684776</v>
      </c>
      <c r="H27" s="327">
        <f t="shared" si="0"/>
        <v>843147.02498518792</v>
      </c>
      <c r="I27" s="327">
        <f t="shared" si="0"/>
        <v>9696190.7873296607</v>
      </c>
      <c r="J27" s="327">
        <f t="shared" si="0"/>
        <v>290885.72361988982</v>
      </c>
      <c r="K27" s="332">
        <f t="shared" si="0"/>
        <v>1101967690.5468853</v>
      </c>
      <c r="L27" s="332">
        <f t="shared" si="0"/>
        <v>2273079.8245712984</v>
      </c>
      <c r="M27" s="332">
        <f t="shared" si="0"/>
        <v>15329275.724815305</v>
      </c>
      <c r="N27" s="332">
        <f t="shared" si="0"/>
        <v>1086638414.8220699</v>
      </c>
      <c r="O27" s="327">
        <f t="shared" si="0"/>
        <v>2961288.2600000002</v>
      </c>
      <c r="P27" s="327">
        <f t="shared" si="0"/>
        <v>3010445.645116</v>
      </c>
      <c r="T27" s="328"/>
      <c r="U27" s="328"/>
      <c r="V27" s="329"/>
      <c r="W27" s="328"/>
      <c r="X27" s="330"/>
      <c r="Y27" s="331"/>
      <c r="Z27" s="328"/>
      <c r="AA27" s="328"/>
      <c r="AB27" s="328"/>
      <c r="AC27" s="328"/>
      <c r="AD27" s="328"/>
      <c r="AE27" s="328"/>
      <c r="AF27" s="328"/>
      <c r="AG27" s="328"/>
      <c r="AH27" s="328"/>
      <c r="AI27" s="328"/>
      <c r="AJ27" s="328"/>
      <c r="AK27" s="328"/>
      <c r="AL27" s="328"/>
      <c r="AM27" s="328"/>
      <c r="AN27" s="328"/>
    </row>
    <row r="28" spans="1:40" x14ac:dyDescent="0.2">
      <c r="A28" s="321">
        <f t="shared" si="2"/>
        <v>16</v>
      </c>
      <c r="C28" s="315" t="str">
        <f t="shared" si="1"/>
        <v>April</v>
      </c>
      <c r="D28" s="325">
        <v>2015</v>
      </c>
      <c r="E28" s="327">
        <f t="shared" si="0"/>
        <v>11258451.840913096</v>
      </c>
      <c r="F28" s="327">
        <f t="shared" si="0"/>
        <v>0</v>
      </c>
      <c r="G28" s="327">
        <f t="shared" si="0"/>
        <v>844383.88806848228</v>
      </c>
      <c r="H28" s="327">
        <f t="shared" si="0"/>
        <v>843147.02498519304</v>
      </c>
      <c r="I28" s="327">
        <f t="shared" si="0"/>
        <v>9696190.7873297203</v>
      </c>
      <c r="J28" s="327">
        <f t="shared" si="0"/>
        <v>290885.72361989162</v>
      </c>
      <c r="K28" s="332">
        <f t="shared" si="0"/>
        <v>1113518264.9745014</v>
      </c>
      <c r="L28" s="332">
        <f t="shared" si="0"/>
        <v>2311001.2252770467</v>
      </c>
      <c r="M28" s="332">
        <f t="shared" si="0"/>
        <v>17640276.950092353</v>
      </c>
      <c r="N28" s="332">
        <f t="shared" si="0"/>
        <v>1095877988.0244091</v>
      </c>
      <c r="O28" s="327">
        <f t="shared" si="0"/>
        <v>2961288.2600000002</v>
      </c>
      <c r="P28" s="327">
        <f t="shared" si="0"/>
        <v>3010445.645116</v>
      </c>
      <c r="T28" s="328"/>
      <c r="U28" s="328"/>
      <c r="V28" s="329"/>
      <c r="W28" s="328"/>
      <c r="X28" s="330"/>
      <c r="Y28" s="331"/>
      <c r="Z28" s="328"/>
      <c r="AA28" s="328"/>
      <c r="AB28" s="328"/>
      <c r="AC28" s="328"/>
      <c r="AD28" s="328"/>
      <c r="AE28" s="328"/>
      <c r="AF28" s="328"/>
      <c r="AG28" s="328"/>
      <c r="AH28" s="328"/>
      <c r="AI28" s="328"/>
      <c r="AJ28" s="328"/>
      <c r="AK28" s="328"/>
      <c r="AL28" s="328"/>
      <c r="AM28" s="328"/>
      <c r="AN28" s="328"/>
    </row>
    <row r="29" spans="1:40" x14ac:dyDescent="0.2">
      <c r="A29" s="321">
        <f t="shared" si="2"/>
        <v>17</v>
      </c>
      <c r="C29" s="315" t="str">
        <f t="shared" si="1"/>
        <v>May</v>
      </c>
      <c r="D29" s="325">
        <v>2015</v>
      </c>
      <c r="E29" s="327">
        <f t="shared" ref="E29:P36" si="3">E61+E92</f>
        <v>765037615.02311325</v>
      </c>
      <c r="F29" s="327">
        <f t="shared" si="3"/>
        <v>340249730.55000007</v>
      </c>
      <c r="G29" s="327">
        <f t="shared" si="3"/>
        <v>31859091.335483484</v>
      </c>
      <c r="H29" s="327">
        <f t="shared" si="3"/>
        <v>1015147.0249851936</v>
      </c>
      <c r="I29" s="327">
        <f t="shared" si="3"/>
        <v>11674190.787329726</v>
      </c>
      <c r="J29" s="327">
        <f t="shared" si="3"/>
        <v>350225.72361989174</v>
      </c>
      <c r="K29" s="332">
        <f t="shared" si="3"/>
        <v>1909750050.031733</v>
      </c>
      <c r="L29" s="332">
        <f t="shared" si="3"/>
        <v>2335224.6139334128</v>
      </c>
      <c r="M29" s="332">
        <f t="shared" si="3"/>
        <v>19975501.564025763</v>
      </c>
      <c r="N29" s="332">
        <f t="shared" si="3"/>
        <v>1889774548.4677072</v>
      </c>
      <c r="O29" s="327">
        <f t="shared" si="3"/>
        <v>2961288.2600000002</v>
      </c>
      <c r="P29" s="327">
        <f t="shared" si="3"/>
        <v>3010445.645116</v>
      </c>
      <c r="T29" s="328"/>
      <c r="U29" s="328"/>
      <c r="V29" s="329"/>
      <c r="W29" s="328"/>
      <c r="X29" s="330"/>
      <c r="Y29" s="331"/>
      <c r="Z29" s="328"/>
      <c r="AA29" s="328"/>
      <c r="AB29" s="328"/>
      <c r="AC29" s="328"/>
      <c r="AD29" s="328"/>
      <c r="AE29" s="328"/>
      <c r="AF29" s="328"/>
      <c r="AG29" s="328"/>
      <c r="AH29" s="328"/>
      <c r="AI29" s="328"/>
      <c r="AJ29" s="328"/>
      <c r="AK29" s="328"/>
      <c r="AL29" s="328"/>
      <c r="AM29" s="328"/>
      <c r="AN29" s="328"/>
    </row>
    <row r="30" spans="1:40" x14ac:dyDescent="0.2">
      <c r="A30" s="321">
        <f t="shared" si="2"/>
        <v>18</v>
      </c>
      <c r="C30" s="315" t="str">
        <f t="shared" si="1"/>
        <v xml:space="preserve">June </v>
      </c>
      <c r="D30" s="325">
        <v>2015</v>
      </c>
      <c r="E30" s="327">
        <f t="shared" si="3"/>
        <v>18059363.003513079</v>
      </c>
      <c r="F30" s="327">
        <f t="shared" si="3"/>
        <v>4282911.1626000023</v>
      </c>
      <c r="G30" s="327">
        <f t="shared" si="3"/>
        <v>1033233.8880684805</v>
      </c>
      <c r="H30" s="327">
        <f t="shared" si="3"/>
        <v>1043097.0249851911</v>
      </c>
      <c r="I30" s="327">
        <f t="shared" si="3"/>
        <v>11995615.787329698</v>
      </c>
      <c r="J30" s="327">
        <f t="shared" si="3"/>
        <v>359868.47361989092</v>
      </c>
      <c r="K30" s="332">
        <f t="shared" si="3"/>
        <v>1928159418.3719492</v>
      </c>
      <c r="L30" s="332">
        <f t="shared" si="3"/>
        <v>4005049.0984957414</v>
      </c>
      <c r="M30" s="332">
        <f t="shared" si="3"/>
        <v>23980550.662521504</v>
      </c>
      <c r="N30" s="332">
        <f t="shared" si="3"/>
        <v>1904178867.7094278</v>
      </c>
      <c r="O30" s="327">
        <f t="shared" si="3"/>
        <v>2961288.2600000002</v>
      </c>
      <c r="P30" s="327">
        <f t="shared" si="3"/>
        <v>3010445.645116</v>
      </c>
      <c r="T30" s="328"/>
      <c r="U30" s="328"/>
      <c r="V30" s="329"/>
      <c r="W30" s="328"/>
      <c r="X30" s="330"/>
      <c r="Y30" s="331"/>
      <c r="Z30" s="328"/>
      <c r="AA30" s="328"/>
      <c r="AB30" s="328"/>
      <c r="AC30" s="328"/>
      <c r="AD30" s="328"/>
      <c r="AE30" s="328"/>
      <c r="AF30" s="328"/>
      <c r="AG30" s="328"/>
      <c r="AH30" s="328"/>
      <c r="AI30" s="328"/>
      <c r="AJ30" s="328"/>
      <c r="AK30" s="328"/>
      <c r="AL30" s="328"/>
      <c r="AM30" s="328"/>
      <c r="AN30" s="328"/>
    </row>
    <row r="31" spans="1:40" x14ac:dyDescent="0.2">
      <c r="A31" s="321">
        <f t="shared" si="2"/>
        <v>19</v>
      </c>
      <c r="C31" s="315" t="str">
        <f t="shared" si="1"/>
        <v>July</v>
      </c>
      <c r="D31" s="325">
        <v>2015</v>
      </c>
      <c r="E31" s="327">
        <f t="shared" si="3"/>
        <v>10258451.840913096</v>
      </c>
      <c r="F31" s="327">
        <f t="shared" si="3"/>
        <v>0</v>
      </c>
      <c r="G31" s="327">
        <f t="shared" si="3"/>
        <v>769383.88806848228</v>
      </c>
      <c r="H31" s="327">
        <f t="shared" si="3"/>
        <v>843147.02498519304</v>
      </c>
      <c r="I31" s="327">
        <f t="shared" si="3"/>
        <v>9696190.7873297203</v>
      </c>
      <c r="J31" s="327">
        <f t="shared" si="3"/>
        <v>290885.72361989162</v>
      </c>
      <c r="K31" s="332">
        <f t="shared" si="3"/>
        <v>1938634992.7995658</v>
      </c>
      <c r="L31" s="332">
        <f t="shared" si="3"/>
        <v>4043656.4670744906</v>
      </c>
      <c r="M31" s="332">
        <f t="shared" si="3"/>
        <v>28024207.129595995</v>
      </c>
      <c r="N31" s="332">
        <f t="shared" si="3"/>
        <v>1910610785.6699696</v>
      </c>
      <c r="O31" s="327">
        <f t="shared" si="3"/>
        <v>2961288.2600000002</v>
      </c>
      <c r="P31" s="327">
        <f t="shared" si="3"/>
        <v>3010445.645116</v>
      </c>
      <c r="T31" s="328"/>
      <c r="U31" s="328"/>
      <c r="V31" s="329"/>
      <c r="W31" s="328"/>
      <c r="X31" s="330"/>
      <c r="Y31" s="331"/>
      <c r="Z31" s="328"/>
      <c r="AA31" s="328"/>
      <c r="AB31" s="328"/>
      <c r="AC31" s="328"/>
      <c r="AD31" s="328"/>
      <c r="AE31" s="328"/>
      <c r="AF31" s="328"/>
      <c r="AG31" s="328"/>
      <c r="AH31" s="328"/>
      <c r="AI31" s="328"/>
      <c r="AJ31" s="328"/>
      <c r="AK31" s="328"/>
      <c r="AL31" s="328"/>
      <c r="AM31" s="328"/>
      <c r="AN31" s="328"/>
    </row>
    <row r="32" spans="1:40" x14ac:dyDescent="0.2">
      <c r="A32" s="321">
        <f t="shared" si="2"/>
        <v>20</v>
      </c>
      <c r="C32" s="315" t="str">
        <f t="shared" si="1"/>
        <v>August</v>
      </c>
      <c r="D32" s="325">
        <v>2015</v>
      </c>
      <c r="E32" s="327">
        <f t="shared" si="3"/>
        <v>10238451.840913096</v>
      </c>
      <c r="F32" s="327">
        <f t="shared" si="3"/>
        <v>0</v>
      </c>
      <c r="G32" s="327">
        <f t="shared" si="3"/>
        <v>767883.88806848228</v>
      </c>
      <c r="H32" s="327">
        <f t="shared" si="3"/>
        <v>843147.02498519304</v>
      </c>
      <c r="I32" s="327">
        <f t="shared" si="3"/>
        <v>9696190.7873297203</v>
      </c>
      <c r="J32" s="327">
        <f t="shared" si="3"/>
        <v>290885.72361989162</v>
      </c>
      <c r="K32" s="332">
        <f t="shared" si="3"/>
        <v>1949089067.2271819</v>
      </c>
      <c r="L32" s="332">
        <f t="shared" si="3"/>
        <v>4065625.4100347757</v>
      </c>
      <c r="M32" s="332">
        <f t="shared" si="3"/>
        <v>32089832.539630771</v>
      </c>
      <c r="N32" s="332">
        <f t="shared" si="3"/>
        <v>1916999234.6875515</v>
      </c>
      <c r="O32" s="327">
        <f t="shared" si="3"/>
        <v>2961288.2600000002</v>
      </c>
      <c r="P32" s="327">
        <f t="shared" si="3"/>
        <v>3010445.645116</v>
      </c>
      <c r="T32" s="328"/>
      <c r="U32" s="328"/>
      <c r="V32" s="329"/>
      <c r="W32" s="328"/>
      <c r="X32" s="330"/>
      <c r="Y32" s="331"/>
      <c r="Z32" s="328"/>
      <c r="AA32" s="328"/>
      <c r="AB32" s="328"/>
      <c r="AC32" s="328"/>
      <c r="AD32" s="328"/>
      <c r="AE32" s="328"/>
      <c r="AF32" s="328"/>
      <c r="AG32" s="328"/>
      <c r="AH32" s="328"/>
      <c r="AI32" s="328"/>
      <c r="AJ32" s="328"/>
      <c r="AK32" s="328"/>
      <c r="AL32" s="328"/>
      <c r="AM32" s="328"/>
      <c r="AN32" s="328"/>
    </row>
    <row r="33" spans="1:40" x14ac:dyDescent="0.2">
      <c r="A33" s="321">
        <f t="shared" si="2"/>
        <v>21</v>
      </c>
      <c r="C33" s="315" t="str">
        <f t="shared" si="1"/>
        <v>September</v>
      </c>
      <c r="D33" s="325">
        <v>2015</v>
      </c>
      <c r="E33" s="327">
        <f t="shared" si="3"/>
        <v>10208451.840913037</v>
      </c>
      <c r="F33" s="327">
        <f t="shared" si="3"/>
        <v>0</v>
      </c>
      <c r="G33" s="327">
        <f t="shared" si="3"/>
        <v>765633.88806847774</v>
      </c>
      <c r="H33" s="327">
        <f t="shared" si="3"/>
        <v>843147.02498518792</v>
      </c>
      <c r="I33" s="327">
        <f t="shared" si="3"/>
        <v>9696190.7873296607</v>
      </c>
      <c r="J33" s="327">
        <f t="shared" si="3"/>
        <v>290885.72361988982</v>
      </c>
      <c r="K33" s="333">
        <f t="shared" si="3"/>
        <v>1959510891.6547983</v>
      </c>
      <c r="L33" s="333">
        <f t="shared" si="3"/>
        <v>4087549.26408114</v>
      </c>
      <c r="M33" s="333">
        <f t="shared" si="3"/>
        <v>36177381.803711914</v>
      </c>
      <c r="N33" s="333">
        <f t="shared" si="3"/>
        <v>1923333509.8510864</v>
      </c>
      <c r="O33" s="186">
        <f t="shared" si="3"/>
        <v>2961288.2600000002</v>
      </c>
      <c r="P33" s="186">
        <f t="shared" si="3"/>
        <v>3010445.645116</v>
      </c>
      <c r="T33" s="328"/>
      <c r="U33" s="328"/>
      <c r="V33" s="329"/>
      <c r="W33" s="328"/>
      <c r="X33" s="330"/>
      <c r="Y33" s="331"/>
      <c r="Z33" s="328"/>
      <c r="AA33" s="328"/>
      <c r="AB33" s="328"/>
      <c r="AC33" s="328"/>
      <c r="AD33" s="328"/>
      <c r="AE33" s="328"/>
      <c r="AF33" s="328"/>
      <c r="AG33" s="328"/>
      <c r="AH33" s="328"/>
      <c r="AI33" s="328"/>
      <c r="AJ33" s="328"/>
      <c r="AK33" s="328"/>
      <c r="AL33" s="328"/>
      <c r="AM33" s="328"/>
      <c r="AN33" s="328"/>
    </row>
    <row r="34" spans="1:40" x14ac:dyDescent="0.2">
      <c r="A34" s="322">
        <f t="shared" si="2"/>
        <v>22</v>
      </c>
      <c r="C34" s="315" t="str">
        <f t="shared" si="1"/>
        <v>October</v>
      </c>
      <c r="D34" s="325">
        <v>2015</v>
      </c>
      <c r="E34" s="327">
        <f t="shared" si="3"/>
        <v>36143332.110913135</v>
      </c>
      <c r="F34" s="327">
        <f t="shared" si="3"/>
        <v>2054880.269999997</v>
      </c>
      <c r="G34" s="327">
        <f t="shared" si="3"/>
        <v>2556633.8880684855</v>
      </c>
      <c r="H34" s="327">
        <f t="shared" si="3"/>
        <v>2681827.024985197</v>
      </c>
      <c r="I34" s="327">
        <f t="shared" si="3"/>
        <v>30841010.787329763</v>
      </c>
      <c r="J34" s="327">
        <f t="shared" si="3"/>
        <v>925230.32361989282</v>
      </c>
      <c r="K34" s="333">
        <f t="shared" si="3"/>
        <v>1996454260.9524148</v>
      </c>
      <c r="L34" s="333">
        <f t="shared" si="3"/>
        <v>4109405.4847566215</v>
      </c>
      <c r="M34" s="333">
        <f t="shared" si="3"/>
        <v>40286787.28846854</v>
      </c>
      <c r="N34" s="333">
        <f t="shared" si="3"/>
        <v>1956167473.6639462</v>
      </c>
      <c r="O34" s="186">
        <f t="shared" si="3"/>
        <v>2961288.2600000002</v>
      </c>
      <c r="P34" s="186">
        <f t="shared" si="3"/>
        <v>3010445.645116</v>
      </c>
      <c r="T34" s="328"/>
      <c r="U34" s="328"/>
      <c r="V34" s="329"/>
      <c r="W34" s="328"/>
      <c r="X34" s="330"/>
      <c r="Y34" s="331"/>
      <c r="Z34" s="328"/>
      <c r="AA34" s="328"/>
      <c r="AB34" s="328"/>
      <c r="AC34" s="328"/>
      <c r="AD34" s="328"/>
      <c r="AE34" s="328"/>
      <c r="AF34" s="328"/>
      <c r="AG34" s="328"/>
      <c r="AH34" s="328"/>
      <c r="AI34" s="328"/>
      <c r="AJ34" s="328"/>
      <c r="AK34" s="328"/>
      <c r="AL34" s="328"/>
      <c r="AM34" s="328"/>
      <c r="AN34" s="328"/>
    </row>
    <row r="35" spans="1:40" x14ac:dyDescent="0.2">
      <c r="A35" s="322">
        <f t="shared" si="2"/>
        <v>23</v>
      </c>
      <c r="C35" s="315" t="str">
        <f t="shared" si="1"/>
        <v>November</v>
      </c>
      <c r="D35" s="325">
        <v>2015</v>
      </c>
      <c r="E35" s="327">
        <f t="shared" si="3"/>
        <v>12758451.840913037</v>
      </c>
      <c r="F35" s="327">
        <f t="shared" si="3"/>
        <v>0</v>
      </c>
      <c r="G35" s="327">
        <f t="shared" si="3"/>
        <v>956883.88806847774</v>
      </c>
      <c r="H35" s="327">
        <f t="shared" si="3"/>
        <v>843147.02498518792</v>
      </c>
      <c r="I35" s="327">
        <f t="shared" si="3"/>
        <v>9696190.7873296607</v>
      </c>
      <c r="J35" s="327">
        <f t="shared" si="3"/>
        <v>290885.72361988982</v>
      </c>
      <c r="K35" s="333">
        <f t="shared" si="3"/>
        <v>2009617335.3800311</v>
      </c>
      <c r="L35" s="333">
        <f t="shared" si="3"/>
        <v>4186881.5963023994</v>
      </c>
      <c r="M35" s="333">
        <f t="shared" si="3"/>
        <v>44473668.88477093</v>
      </c>
      <c r="N35" s="333">
        <f t="shared" si="3"/>
        <v>1965143666.49526</v>
      </c>
      <c r="O35" s="186">
        <f t="shared" si="3"/>
        <v>2961288.2600000002</v>
      </c>
      <c r="P35" s="186">
        <f t="shared" si="3"/>
        <v>3010445.645116</v>
      </c>
      <c r="T35" s="328"/>
      <c r="U35" s="328"/>
      <c r="V35" s="329"/>
      <c r="W35" s="328"/>
      <c r="X35" s="330"/>
      <c r="Y35" s="331"/>
      <c r="Z35" s="328"/>
      <c r="AA35" s="328"/>
      <c r="AB35" s="328"/>
      <c r="AC35" s="328"/>
      <c r="AD35" s="328"/>
      <c r="AE35" s="328"/>
      <c r="AF35" s="328"/>
      <c r="AG35" s="328"/>
      <c r="AH35" s="328"/>
      <c r="AI35" s="328"/>
      <c r="AJ35" s="328"/>
      <c r="AK35" s="328"/>
      <c r="AL35" s="328"/>
      <c r="AM35" s="328"/>
      <c r="AN35" s="328"/>
    </row>
    <row r="36" spans="1:40" x14ac:dyDescent="0.2">
      <c r="A36" s="322">
        <f t="shared" si="2"/>
        <v>24</v>
      </c>
      <c r="C36" s="315" t="str">
        <f t="shared" si="1"/>
        <v>December</v>
      </c>
      <c r="D36" s="325">
        <v>2015</v>
      </c>
      <c r="E36" s="327">
        <f t="shared" si="3"/>
        <v>174087078.115513</v>
      </c>
      <c r="F36" s="327">
        <f t="shared" si="3"/>
        <v>22605165.874599993</v>
      </c>
      <c r="G36" s="327">
        <f t="shared" si="3"/>
        <v>11361143.418068476</v>
      </c>
      <c r="H36" s="327">
        <f t="shared" si="3"/>
        <v>10989982.619385185</v>
      </c>
      <c r="I36" s="327">
        <f t="shared" si="3"/>
        <v>126384800.12292963</v>
      </c>
      <c r="J36" s="327">
        <f t="shared" si="3"/>
        <v>3791544.0036878888</v>
      </c>
      <c r="K36" s="334">
        <f t="shared" si="3"/>
        <v>2187867118.2979155</v>
      </c>
      <c r="L36" s="333">
        <f t="shared" si="3"/>
        <v>4214486.6535028853</v>
      </c>
      <c r="M36" s="333">
        <f t="shared" si="3"/>
        <v>48688155.538273819</v>
      </c>
      <c r="N36" s="334">
        <f t="shared" si="3"/>
        <v>2139178962.7596414</v>
      </c>
      <c r="O36" s="186">
        <f t="shared" si="3"/>
        <v>2961288.2600000002</v>
      </c>
      <c r="P36" s="335">
        <f t="shared" si="3"/>
        <v>3010445.645116</v>
      </c>
      <c r="T36" s="328"/>
      <c r="U36" s="328"/>
      <c r="V36" s="329"/>
      <c r="W36" s="328"/>
      <c r="X36" s="330"/>
      <c r="Y36" s="331"/>
      <c r="Z36" s="328"/>
      <c r="AA36" s="328"/>
      <c r="AB36" s="328"/>
      <c r="AC36" s="328"/>
      <c r="AD36" s="328"/>
      <c r="AE36" s="328"/>
      <c r="AF36" s="328"/>
      <c r="AG36" s="328"/>
      <c r="AH36" s="328"/>
      <c r="AI36" s="328"/>
      <c r="AJ36" s="328"/>
      <c r="AK36" s="328"/>
      <c r="AL36" s="328"/>
      <c r="AM36" s="328"/>
      <c r="AN36" s="328"/>
    </row>
    <row r="37" spans="1:40" s="145" customFormat="1" x14ac:dyDescent="0.2">
      <c r="A37" s="322">
        <f t="shared" si="2"/>
        <v>25</v>
      </c>
      <c r="D37" s="336" t="s">
        <v>343</v>
      </c>
      <c r="K37" s="337">
        <f>AVERAGE(K24:K36)</f>
        <v>1622761149.0155733</v>
      </c>
      <c r="M37" s="338"/>
      <c r="N37" s="338">
        <f>AVERAGE(N24:N36)</f>
        <v>1596639703.2110198</v>
      </c>
      <c r="O37" s="338"/>
      <c r="P37" s="338">
        <f>AVERAGE(P24:P36)</f>
        <v>3010445.6451160009</v>
      </c>
      <c r="Q37" s="339"/>
      <c r="T37" s="340"/>
      <c r="U37" s="340"/>
    </row>
    <row r="38" spans="1:40" x14ac:dyDescent="0.2">
      <c r="A38" s="321"/>
      <c r="T38" s="327"/>
      <c r="U38" s="327"/>
      <c r="Z38" s="327"/>
    </row>
    <row r="39" spans="1:40" x14ac:dyDescent="0.2">
      <c r="A39" s="321"/>
      <c r="B39" s="145" t="s">
        <v>437</v>
      </c>
      <c r="G39" s="321"/>
      <c r="K39" s="331"/>
      <c r="M39" s="331"/>
      <c r="N39" s="331"/>
      <c r="O39" s="331"/>
      <c r="P39" s="331"/>
    </row>
    <row r="40" spans="1:40" x14ac:dyDescent="0.2">
      <c r="A40" s="321"/>
      <c r="B40" s="145"/>
      <c r="E40" s="318" t="s">
        <v>167</v>
      </c>
      <c r="F40" s="318" t="s">
        <v>168</v>
      </c>
      <c r="G40" s="318" t="s">
        <v>184</v>
      </c>
      <c r="H40" s="318" t="s">
        <v>185</v>
      </c>
      <c r="I40" s="318" t="s">
        <v>186</v>
      </c>
      <c r="J40" s="318" t="s">
        <v>187</v>
      </c>
      <c r="K40" s="341" t="s">
        <v>188</v>
      </c>
      <c r="L40" s="318" t="s">
        <v>350</v>
      </c>
      <c r="M40" s="341" t="s">
        <v>404</v>
      </c>
      <c r="N40" s="341" t="s">
        <v>403</v>
      </c>
      <c r="O40" s="341" t="s">
        <v>402</v>
      </c>
      <c r="P40" s="341" t="s">
        <v>401</v>
      </c>
    </row>
    <row r="41" spans="1:40" ht="25.5" x14ac:dyDescent="0.2">
      <c r="A41" s="321"/>
      <c r="B41" s="145"/>
      <c r="E41" s="342" t="s">
        <v>438</v>
      </c>
      <c r="F41" s="342" t="s">
        <v>439</v>
      </c>
      <c r="G41" s="342" t="s">
        <v>440</v>
      </c>
      <c r="H41" s="343" t="s">
        <v>441</v>
      </c>
      <c r="I41" s="343" t="s">
        <v>441</v>
      </c>
      <c r="J41" s="320" t="s">
        <v>441</v>
      </c>
      <c r="K41" s="344" t="s">
        <v>442</v>
      </c>
      <c r="L41" s="345" t="s">
        <v>443</v>
      </c>
      <c r="M41" s="346" t="s">
        <v>444</v>
      </c>
      <c r="N41" s="347" t="s">
        <v>445</v>
      </c>
      <c r="O41" s="347"/>
      <c r="P41" s="346" t="s">
        <v>446</v>
      </c>
    </row>
    <row r="42" spans="1:40" x14ac:dyDescent="0.2">
      <c r="A42" s="321"/>
      <c r="C42" s="321" t="str">
        <f>C10</f>
        <v>Forecast</v>
      </c>
      <c r="E42" s="321" t="str">
        <f>E10</f>
        <v>Unloaded</v>
      </c>
      <c r="F42" s="321"/>
      <c r="G42" s="321"/>
      <c r="I42" s="322" t="str">
        <f>I10</f>
        <v>AFUDC</v>
      </c>
      <c r="J42" s="322"/>
      <c r="K42" s="322"/>
      <c r="L42" s="322"/>
      <c r="M42" s="322"/>
      <c r="N42" s="322"/>
      <c r="O42" s="321" t="str">
        <f t="shared" ref="O42:P44" si="4">O10</f>
        <v>Unloaded</v>
      </c>
      <c r="P42" s="321" t="str">
        <f t="shared" si="4"/>
        <v>Loaded</v>
      </c>
    </row>
    <row r="43" spans="1:40" x14ac:dyDescent="0.2">
      <c r="A43" s="321"/>
      <c r="B43" s="145"/>
      <c r="C43" s="321" t="str">
        <f>C11</f>
        <v>Period</v>
      </c>
      <c r="E43" s="321" t="str">
        <f>E11</f>
        <v>Total</v>
      </c>
      <c r="F43" s="321" t="str">
        <f t="shared" ref="F43:H44" si="5">F11</f>
        <v>Prior Period</v>
      </c>
      <c r="G43" s="322" t="str">
        <f t="shared" si="5"/>
        <v>Over Heads</v>
      </c>
      <c r="H43" s="322" t="str">
        <f t="shared" si="5"/>
        <v xml:space="preserve">Cost of </v>
      </c>
      <c r="I43" s="322" t="str">
        <f>I11</f>
        <v>Eligible Plant</v>
      </c>
      <c r="J43" s="322"/>
      <c r="K43" s="322" t="str">
        <f>K11</f>
        <v>Incremental</v>
      </c>
      <c r="L43" s="322" t="str">
        <f>L11</f>
        <v>Depreciation</v>
      </c>
      <c r="M43" s="322"/>
      <c r="N43" s="322"/>
      <c r="O43" s="322" t="str">
        <f t="shared" si="4"/>
        <v>Low Voltage</v>
      </c>
      <c r="P43" s="322" t="str">
        <f t="shared" si="4"/>
        <v>Low Voltage</v>
      </c>
    </row>
    <row r="44" spans="1:40" x14ac:dyDescent="0.2">
      <c r="A44" s="323" t="s">
        <v>170</v>
      </c>
      <c r="C44" s="128" t="str">
        <f t="shared" ref="C44:D44" si="6">C12</f>
        <v>Month</v>
      </c>
      <c r="D44" s="128" t="str">
        <f t="shared" si="6"/>
        <v>Year</v>
      </c>
      <c r="E44" s="318" t="str">
        <f>E12</f>
        <v>Plant Adds</v>
      </c>
      <c r="F44" s="318" t="str">
        <f t="shared" si="5"/>
        <v>CWIP Closed</v>
      </c>
      <c r="G44" s="324" t="str">
        <f t="shared" si="5"/>
        <v>Closed to PIS</v>
      </c>
      <c r="H44" s="324" t="str">
        <f t="shared" si="5"/>
        <v>Removal</v>
      </c>
      <c r="I44" s="324" t="str">
        <f>I12</f>
        <v>Additions</v>
      </c>
      <c r="J44" s="324" t="str">
        <f>J12</f>
        <v>AFUDC</v>
      </c>
      <c r="K44" s="324" t="str">
        <f>K12</f>
        <v>Gross Plant</v>
      </c>
      <c r="L44" s="324" t="str">
        <f>L12</f>
        <v>Accrual</v>
      </c>
      <c r="M44" s="324" t="str">
        <f>M12</f>
        <v>Reserve</v>
      </c>
      <c r="N44" s="324" t="str">
        <f>N12</f>
        <v>Net Plant</v>
      </c>
      <c r="O44" s="324" t="str">
        <f t="shared" si="4"/>
        <v>Additions</v>
      </c>
      <c r="P44" s="324" t="str">
        <f t="shared" si="4"/>
        <v>Additions</v>
      </c>
      <c r="T44" s="324"/>
      <c r="U44" s="324"/>
      <c r="V44" s="324"/>
      <c r="W44" s="324"/>
      <c r="X44" s="324"/>
      <c r="Y44" s="324"/>
    </row>
    <row r="45" spans="1:40" x14ac:dyDescent="0.2">
      <c r="A45" s="321">
        <f>A37+1</f>
        <v>26</v>
      </c>
      <c r="C45" s="130" t="s">
        <v>10</v>
      </c>
      <c r="D45" s="325">
        <v>2014</v>
      </c>
      <c r="E45" s="353">
        <v>12810060.830000002</v>
      </c>
      <c r="F45" s="348">
        <v>6951533.1100000031</v>
      </c>
      <c r="G45" s="348">
        <v>439389.57899999997</v>
      </c>
      <c r="H45" s="349">
        <v>0</v>
      </c>
      <c r="I45" s="328">
        <v>0</v>
      </c>
      <c r="J45" s="350">
        <v>0</v>
      </c>
      <c r="K45" s="332">
        <f>0+E45+G45</f>
        <v>13249450.409000002</v>
      </c>
      <c r="L45" s="327">
        <v>0</v>
      </c>
      <c r="M45" s="327">
        <f>L45</f>
        <v>0</v>
      </c>
      <c r="N45" s="332">
        <f t="shared" ref="N45:N68" si="7">K45-M45</f>
        <v>13249450.409000002</v>
      </c>
      <c r="O45" s="351">
        <v>0</v>
      </c>
      <c r="P45" s="350">
        <f t="shared" ref="P45:P68" si="8">O45*(1-$E$107)*(1+$E$103+$E$111)</f>
        <v>0</v>
      </c>
      <c r="S45" s="327"/>
      <c r="T45" s="352"/>
      <c r="U45" s="330"/>
      <c r="V45" s="331"/>
      <c r="W45" s="352"/>
      <c r="X45" s="330"/>
      <c r="Y45" s="331"/>
    </row>
    <row r="46" spans="1:40" x14ac:dyDescent="0.2">
      <c r="A46" s="321">
        <f t="shared" ref="A46:A99" si="9">A45+1</f>
        <v>27</v>
      </c>
      <c r="C46" s="118" t="s">
        <v>11</v>
      </c>
      <c r="D46" s="325">
        <v>2014</v>
      </c>
      <c r="E46" s="353">
        <v>3025487.2299999995</v>
      </c>
      <c r="F46" s="348">
        <v>0</v>
      </c>
      <c r="G46" s="348">
        <v>226911.54224999997</v>
      </c>
      <c r="H46" s="349">
        <v>0</v>
      </c>
      <c r="I46" s="328">
        <v>0</v>
      </c>
      <c r="J46" s="350">
        <v>0</v>
      </c>
      <c r="K46" s="332">
        <f>K45+E46+G46</f>
        <v>16501849.181250002</v>
      </c>
      <c r="L46" s="332">
        <f t="shared" ref="L46:L68" si="10">K45*$E$133/12</f>
        <v>27786.20134883502</v>
      </c>
      <c r="M46" s="332">
        <f>M45+L46</f>
        <v>27786.20134883502</v>
      </c>
      <c r="N46" s="332">
        <f t="shared" si="7"/>
        <v>16474062.979901167</v>
      </c>
      <c r="O46" s="351">
        <v>0</v>
      </c>
      <c r="P46" s="350">
        <f t="shared" si="8"/>
        <v>0</v>
      </c>
      <c r="S46" s="327"/>
      <c r="T46" s="352"/>
      <c r="U46" s="330"/>
      <c r="V46" s="331"/>
      <c r="W46" s="352"/>
      <c r="X46" s="330"/>
      <c r="Y46" s="331"/>
    </row>
    <row r="47" spans="1:40" x14ac:dyDescent="0.2">
      <c r="A47" s="321">
        <f t="shared" si="9"/>
        <v>28</v>
      </c>
      <c r="C47" s="118" t="s">
        <v>21</v>
      </c>
      <c r="D47" s="325">
        <v>2014</v>
      </c>
      <c r="E47" s="348">
        <v>293125103.21999997</v>
      </c>
      <c r="F47" s="348">
        <v>281317278.48999995</v>
      </c>
      <c r="G47" s="348">
        <v>885586.85474999936</v>
      </c>
      <c r="H47" s="349">
        <v>0</v>
      </c>
      <c r="I47" s="328">
        <v>0</v>
      </c>
      <c r="J47" s="350">
        <v>0</v>
      </c>
      <c r="K47" s="332">
        <f t="shared" ref="K47:K68" si="11">K46+E47+G47</f>
        <v>310512539.25599992</v>
      </c>
      <c r="L47" s="332">
        <f t="shared" si="10"/>
        <v>34606.998013054028</v>
      </c>
      <c r="M47" s="332">
        <f t="shared" ref="M47:M68" si="12">M46+L47</f>
        <v>62393.199361889048</v>
      </c>
      <c r="N47" s="332">
        <f t="shared" si="7"/>
        <v>310450146.05663806</v>
      </c>
      <c r="O47" s="351">
        <v>0</v>
      </c>
      <c r="P47" s="350">
        <f t="shared" si="8"/>
        <v>0</v>
      </c>
      <c r="S47" s="327"/>
      <c r="T47" s="352"/>
      <c r="U47" s="330"/>
      <c r="V47" s="331"/>
      <c r="W47" s="352"/>
      <c r="X47" s="330"/>
      <c r="Y47" s="331"/>
    </row>
    <row r="48" spans="1:40" x14ac:dyDescent="0.2">
      <c r="A48" s="321">
        <f t="shared" si="9"/>
        <v>29</v>
      </c>
      <c r="C48" s="130" t="s">
        <v>12</v>
      </c>
      <c r="D48" s="325">
        <v>2014</v>
      </c>
      <c r="E48" s="348">
        <v>17798268.280000001</v>
      </c>
      <c r="F48" s="348">
        <v>0</v>
      </c>
      <c r="G48" s="348">
        <v>1334870.1209999998</v>
      </c>
      <c r="H48" s="349">
        <v>0</v>
      </c>
      <c r="I48" s="328">
        <v>0</v>
      </c>
      <c r="J48" s="350">
        <v>0</v>
      </c>
      <c r="K48" s="332">
        <f t="shared" si="11"/>
        <v>329645677.65699989</v>
      </c>
      <c r="L48" s="332">
        <f t="shared" si="10"/>
        <v>651194.10019033728</v>
      </c>
      <c r="M48" s="332">
        <f t="shared" si="12"/>
        <v>713587.29955222632</v>
      </c>
      <c r="N48" s="332">
        <f t="shared" si="7"/>
        <v>328932090.35744768</v>
      </c>
      <c r="O48" s="351">
        <v>0</v>
      </c>
      <c r="P48" s="350">
        <f t="shared" si="8"/>
        <v>0</v>
      </c>
      <c r="S48" s="327"/>
      <c r="T48" s="352"/>
      <c r="U48" s="330"/>
      <c r="V48" s="331"/>
      <c r="W48" s="352"/>
      <c r="X48" s="330"/>
      <c r="Y48" s="331"/>
    </row>
    <row r="49" spans="1:25" x14ac:dyDescent="0.2">
      <c r="A49" s="321">
        <f t="shared" si="9"/>
        <v>30</v>
      </c>
      <c r="C49" s="118" t="s">
        <v>13</v>
      </c>
      <c r="D49" s="325">
        <v>2014</v>
      </c>
      <c r="E49" s="348">
        <v>8201450</v>
      </c>
      <c r="F49" s="348">
        <v>0</v>
      </c>
      <c r="G49" s="348">
        <v>615108.75</v>
      </c>
      <c r="H49" s="349">
        <v>0</v>
      </c>
      <c r="I49" s="328">
        <v>0</v>
      </c>
      <c r="J49" s="350">
        <v>0</v>
      </c>
      <c r="K49" s="332">
        <f t="shared" si="11"/>
        <v>338462236.40699989</v>
      </c>
      <c r="L49" s="332">
        <f t="shared" si="10"/>
        <v>691319.3295118633</v>
      </c>
      <c r="M49" s="332">
        <f t="shared" si="12"/>
        <v>1404906.6290640896</v>
      </c>
      <c r="N49" s="332">
        <f t="shared" si="7"/>
        <v>337057329.7779358</v>
      </c>
      <c r="O49" s="351">
        <v>0</v>
      </c>
      <c r="P49" s="350">
        <f t="shared" si="8"/>
        <v>0</v>
      </c>
      <c r="S49" s="327"/>
      <c r="T49" s="352"/>
      <c r="U49" s="330"/>
      <c r="V49" s="331"/>
      <c r="W49" s="352"/>
      <c r="X49" s="330"/>
      <c r="Y49" s="331"/>
    </row>
    <row r="50" spans="1:25" x14ac:dyDescent="0.2">
      <c r="A50" s="321">
        <f t="shared" si="9"/>
        <v>31</v>
      </c>
      <c r="C50" s="118" t="s">
        <v>391</v>
      </c>
      <c r="D50" s="325">
        <v>2014</v>
      </c>
      <c r="E50" s="348">
        <v>9261450</v>
      </c>
      <c r="F50" s="348">
        <v>0</v>
      </c>
      <c r="G50" s="348">
        <v>694608.75</v>
      </c>
      <c r="H50" s="349">
        <v>0</v>
      </c>
      <c r="I50" s="328">
        <v>0</v>
      </c>
      <c r="J50" s="350">
        <v>0</v>
      </c>
      <c r="K50" s="332">
        <f t="shared" si="11"/>
        <v>348418295.15699989</v>
      </c>
      <c r="L50" s="332">
        <f t="shared" si="10"/>
        <v>709809.05316598003</v>
      </c>
      <c r="M50" s="332">
        <f t="shared" si="12"/>
        <v>2114715.6822300698</v>
      </c>
      <c r="N50" s="332">
        <f t="shared" si="7"/>
        <v>346303579.47476983</v>
      </c>
      <c r="O50" s="351">
        <v>0</v>
      </c>
      <c r="P50" s="350">
        <f t="shared" si="8"/>
        <v>0</v>
      </c>
      <c r="S50" s="327"/>
      <c r="T50" s="352"/>
      <c r="U50" s="330"/>
      <c r="V50" s="331"/>
      <c r="W50" s="352"/>
      <c r="X50" s="330"/>
      <c r="Y50" s="331"/>
    </row>
    <row r="51" spans="1:25" x14ac:dyDescent="0.2">
      <c r="A51" s="321">
        <f t="shared" si="9"/>
        <v>32</v>
      </c>
      <c r="C51" s="130" t="s">
        <v>14</v>
      </c>
      <c r="D51" s="325">
        <v>2014</v>
      </c>
      <c r="E51" s="348">
        <v>30497122.730000004</v>
      </c>
      <c r="F51" s="348">
        <v>22630286.590000004</v>
      </c>
      <c r="G51" s="348">
        <v>590012.71050000004</v>
      </c>
      <c r="H51" s="349">
        <v>0</v>
      </c>
      <c r="I51" s="328">
        <v>0</v>
      </c>
      <c r="J51" s="350">
        <v>0</v>
      </c>
      <c r="K51" s="332">
        <f t="shared" si="11"/>
        <v>379505430.59749991</v>
      </c>
      <c r="L51" s="332">
        <f t="shared" si="10"/>
        <v>730688.4892579416</v>
      </c>
      <c r="M51" s="332">
        <f t="shared" si="12"/>
        <v>2845404.1714880113</v>
      </c>
      <c r="N51" s="332">
        <f t="shared" si="7"/>
        <v>376660026.42601192</v>
      </c>
      <c r="O51" s="351">
        <v>0</v>
      </c>
      <c r="P51" s="350">
        <f t="shared" si="8"/>
        <v>0</v>
      </c>
      <c r="S51" s="327"/>
      <c r="T51" s="352"/>
      <c r="U51" s="330"/>
      <c r="V51" s="331"/>
      <c r="W51" s="352"/>
      <c r="X51" s="330"/>
      <c r="Y51" s="331"/>
    </row>
    <row r="52" spans="1:25" x14ac:dyDescent="0.2">
      <c r="A52" s="321">
        <f t="shared" si="9"/>
        <v>33</v>
      </c>
      <c r="C52" s="118" t="s">
        <v>15</v>
      </c>
      <c r="D52" s="325">
        <v>2014</v>
      </c>
      <c r="E52" s="348">
        <v>7472450</v>
      </c>
      <c r="F52" s="348">
        <v>0</v>
      </c>
      <c r="G52" s="348">
        <v>560433.75</v>
      </c>
      <c r="H52" s="349">
        <v>0</v>
      </c>
      <c r="I52" s="328">
        <v>0</v>
      </c>
      <c r="J52" s="350">
        <v>0</v>
      </c>
      <c r="K52" s="332">
        <f t="shared" si="11"/>
        <v>387538314.34749991</v>
      </c>
      <c r="L52" s="332">
        <f t="shared" si="10"/>
        <v>795883.14851124072</v>
      </c>
      <c r="M52" s="332">
        <f t="shared" si="12"/>
        <v>3641287.319999252</v>
      </c>
      <c r="N52" s="332">
        <f t="shared" si="7"/>
        <v>383897027.02750063</v>
      </c>
      <c r="O52" s="351">
        <v>0</v>
      </c>
      <c r="P52" s="350">
        <f t="shared" si="8"/>
        <v>0</v>
      </c>
      <c r="S52" s="327"/>
      <c r="T52" s="352"/>
      <c r="U52" s="330"/>
      <c r="V52" s="331"/>
      <c r="W52" s="352"/>
      <c r="X52" s="330"/>
      <c r="Y52" s="331"/>
    </row>
    <row r="53" spans="1:25" x14ac:dyDescent="0.2">
      <c r="A53" s="321">
        <f t="shared" si="9"/>
        <v>34</v>
      </c>
      <c r="C53" s="118" t="s">
        <v>16</v>
      </c>
      <c r="D53" s="325">
        <v>2014</v>
      </c>
      <c r="E53" s="348">
        <v>14633323.059999999</v>
      </c>
      <c r="F53" s="348">
        <v>3100505.1500000004</v>
      </c>
      <c r="G53" s="348">
        <v>864961.3432499998</v>
      </c>
      <c r="H53" s="349">
        <v>0</v>
      </c>
      <c r="I53" s="328">
        <v>0</v>
      </c>
      <c r="J53" s="350">
        <v>0</v>
      </c>
      <c r="K53" s="332">
        <f t="shared" si="11"/>
        <v>403036598.75074989</v>
      </c>
      <c r="L53" s="332">
        <f t="shared" si="10"/>
        <v>812729.38125291502</v>
      </c>
      <c r="M53" s="332">
        <f t="shared" si="12"/>
        <v>4454016.7012521671</v>
      </c>
      <c r="N53" s="332">
        <f t="shared" si="7"/>
        <v>398582582.04949772</v>
      </c>
      <c r="O53" s="351">
        <v>0</v>
      </c>
      <c r="P53" s="350">
        <f t="shared" si="8"/>
        <v>0</v>
      </c>
      <c r="S53" s="327"/>
      <c r="T53" s="352"/>
      <c r="U53" s="330"/>
      <c r="V53" s="331"/>
      <c r="W53" s="352"/>
      <c r="X53" s="330"/>
      <c r="Y53" s="331"/>
    </row>
    <row r="54" spans="1:25" x14ac:dyDescent="0.2">
      <c r="A54" s="321">
        <f t="shared" si="9"/>
        <v>35</v>
      </c>
      <c r="C54" s="130" t="s">
        <v>390</v>
      </c>
      <c r="D54" s="325">
        <v>2014</v>
      </c>
      <c r="E54" s="348">
        <v>10180450</v>
      </c>
      <c r="F54" s="348">
        <v>0</v>
      </c>
      <c r="G54" s="348">
        <v>763533.75</v>
      </c>
      <c r="H54" s="349">
        <v>0</v>
      </c>
      <c r="I54" s="328">
        <v>0</v>
      </c>
      <c r="J54" s="350">
        <v>0</v>
      </c>
      <c r="K54" s="332">
        <f t="shared" si="11"/>
        <v>413980582.50074989</v>
      </c>
      <c r="L54" s="332">
        <f t="shared" si="10"/>
        <v>845231.74457341107</v>
      </c>
      <c r="M54" s="332">
        <f t="shared" si="12"/>
        <v>5299248.4458255786</v>
      </c>
      <c r="N54" s="332">
        <f t="shared" si="7"/>
        <v>408681334.05492431</v>
      </c>
      <c r="O54" s="351">
        <v>0</v>
      </c>
      <c r="P54" s="350">
        <f t="shared" si="8"/>
        <v>0</v>
      </c>
      <c r="S54" s="327"/>
      <c r="T54" s="352"/>
      <c r="U54" s="330"/>
      <c r="V54" s="331"/>
      <c r="W54" s="352"/>
      <c r="X54" s="330"/>
      <c r="Y54" s="331"/>
    </row>
    <row r="55" spans="1:25" x14ac:dyDescent="0.2">
      <c r="A55" s="321">
        <f t="shared" si="9"/>
        <v>36</v>
      </c>
      <c r="C55" s="130" t="s">
        <v>17</v>
      </c>
      <c r="D55" s="325">
        <v>2014</v>
      </c>
      <c r="E55" s="348">
        <v>12204450</v>
      </c>
      <c r="F55" s="348">
        <v>0</v>
      </c>
      <c r="G55" s="348">
        <v>915333.75</v>
      </c>
      <c r="H55" s="349">
        <v>0</v>
      </c>
      <c r="I55" s="328">
        <v>0</v>
      </c>
      <c r="J55" s="350">
        <v>0</v>
      </c>
      <c r="K55" s="332">
        <f t="shared" si="11"/>
        <v>427100366.25074989</v>
      </c>
      <c r="L55" s="332">
        <f t="shared" si="10"/>
        <v>868183.01626007026</v>
      </c>
      <c r="M55" s="332">
        <f t="shared" si="12"/>
        <v>6167431.4620856494</v>
      </c>
      <c r="N55" s="332">
        <f t="shared" si="7"/>
        <v>420932934.78866422</v>
      </c>
      <c r="O55" s="351">
        <v>0</v>
      </c>
      <c r="P55" s="350">
        <f t="shared" si="8"/>
        <v>0</v>
      </c>
      <c r="S55" s="327"/>
      <c r="T55" s="352"/>
      <c r="U55" s="330"/>
      <c r="V55" s="331"/>
      <c r="W55" s="352"/>
      <c r="X55" s="330"/>
      <c r="Y55" s="331"/>
    </row>
    <row r="56" spans="1:25" x14ac:dyDescent="0.2">
      <c r="A56" s="321">
        <f t="shared" si="9"/>
        <v>37</v>
      </c>
      <c r="C56" s="130" t="s">
        <v>9</v>
      </c>
      <c r="D56" s="325">
        <v>2014</v>
      </c>
      <c r="E56" s="348">
        <v>88308164.922000051</v>
      </c>
      <c r="F56" s="348">
        <v>53477263.050000027</v>
      </c>
      <c r="G56" s="348">
        <v>2612317.6404000008</v>
      </c>
      <c r="H56" s="349">
        <v>0</v>
      </c>
      <c r="I56" s="328">
        <v>0</v>
      </c>
      <c r="J56" s="350">
        <v>0</v>
      </c>
      <c r="K56" s="332">
        <f t="shared" si="11"/>
        <v>518020848.81314993</v>
      </c>
      <c r="L56" s="332">
        <f t="shared" si="10"/>
        <v>895697.28603559593</v>
      </c>
      <c r="M56" s="332">
        <f t="shared" si="12"/>
        <v>7063128.7481212448</v>
      </c>
      <c r="N56" s="332">
        <f t="shared" si="7"/>
        <v>510957720.06502867</v>
      </c>
      <c r="O56" s="351">
        <v>0</v>
      </c>
      <c r="P56" s="350">
        <f t="shared" si="8"/>
        <v>0</v>
      </c>
      <c r="S56" s="327"/>
      <c r="T56" s="352"/>
      <c r="U56" s="330"/>
      <c r="V56" s="331"/>
      <c r="W56" s="352"/>
      <c r="X56" s="330"/>
      <c r="Y56" s="331"/>
    </row>
    <row r="57" spans="1:25" x14ac:dyDescent="0.2">
      <c r="A57" s="321">
        <f t="shared" si="9"/>
        <v>38</v>
      </c>
      <c r="C57" s="130" t="s">
        <v>10</v>
      </c>
      <c r="D57" s="325">
        <v>2015</v>
      </c>
      <c r="E57" s="348">
        <v>197653445.03199998</v>
      </c>
      <c r="F57" s="348">
        <v>122158503.50999999</v>
      </c>
      <c r="G57" s="348">
        <v>5662120.6141499989</v>
      </c>
      <c r="H57" s="349">
        <v>0</v>
      </c>
      <c r="I57" s="328">
        <v>0</v>
      </c>
      <c r="J57" s="350">
        <v>0</v>
      </c>
      <c r="K57" s="332">
        <f t="shared" si="11"/>
        <v>721336414.45929992</v>
      </c>
      <c r="L57" s="332">
        <f t="shared" si="10"/>
        <v>1086371.9749642792</v>
      </c>
      <c r="M57" s="332">
        <f t="shared" si="12"/>
        <v>8149500.7230855245</v>
      </c>
      <c r="N57" s="332">
        <f t="shared" si="7"/>
        <v>713186913.7362144</v>
      </c>
      <c r="O57" s="351">
        <v>0</v>
      </c>
      <c r="P57" s="350">
        <f t="shared" si="8"/>
        <v>0</v>
      </c>
      <c r="S57" s="327"/>
      <c r="T57" s="352"/>
      <c r="U57" s="330"/>
      <c r="V57" s="331"/>
      <c r="W57" s="352"/>
      <c r="X57" s="330"/>
      <c r="Y57" s="331"/>
    </row>
    <row r="58" spans="1:25" x14ac:dyDescent="0.2">
      <c r="A58" s="321">
        <f t="shared" si="9"/>
        <v>39</v>
      </c>
      <c r="C58" s="118" t="s">
        <v>11</v>
      </c>
      <c r="D58" s="325">
        <v>2015</v>
      </c>
      <c r="E58" s="348">
        <v>8103096.8566666674</v>
      </c>
      <c r="F58" s="348">
        <v>2453680.1900000009</v>
      </c>
      <c r="G58" s="348">
        <v>423706.25</v>
      </c>
      <c r="H58" s="349">
        <v>0</v>
      </c>
      <c r="I58" s="328">
        <v>0</v>
      </c>
      <c r="J58" s="350">
        <v>0</v>
      </c>
      <c r="K58" s="332">
        <f t="shared" si="11"/>
        <v>729863217.56596661</v>
      </c>
      <c r="L58" s="332">
        <f t="shared" si="10"/>
        <v>1512757.0000034114</v>
      </c>
      <c r="M58" s="332">
        <f t="shared" si="12"/>
        <v>9662257.723088935</v>
      </c>
      <c r="N58" s="332">
        <f t="shared" si="7"/>
        <v>720200959.84287763</v>
      </c>
      <c r="O58" s="351">
        <v>0</v>
      </c>
      <c r="P58" s="350">
        <f t="shared" si="8"/>
        <v>0</v>
      </c>
      <c r="S58" s="327"/>
      <c r="T58" s="352"/>
      <c r="U58" s="330"/>
      <c r="V58" s="331"/>
      <c r="W58" s="352"/>
      <c r="X58" s="330"/>
      <c r="Y58" s="331"/>
    </row>
    <row r="59" spans="1:25" x14ac:dyDescent="0.2">
      <c r="A59" s="321">
        <f t="shared" si="9"/>
        <v>40</v>
      </c>
      <c r="C59" s="118" t="s">
        <v>21</v>
      </c>
      <c r="D59" s="325">
        <v>2015</v>
      </c>
      <c r="E59" s="348">
        <v>7530416.666666666</v>
      </c>
      <c r="F59" s="348">
        <v>0</v>
      </c>
      <c r="G59" s="348">
        <v>564781.25</v>
      </c>
      <c r="H59" s="349">
        <v>0</v>
      </c>
      <c r="I59" s="328">
        <v>0</v>
      </c>
      <c r="J59" s="350">
        <v>0</v>
      </c>
      <c r="K59" s="332">
        <f t="shared" si="11"/>
        <v>737958415.48263323</v>
      </c>
      <c r="L59" s="332">
        <f t="shared" si="10"/>
        <v>1530639.060064014</v>
      </c>
      <c r="M59" s="332">
        <f t="shared" si="12"/>
        <v>11192896.783152949</v>
      </c>
      <c r="N59" s="332">
        <f t="shared" si="7"/>
        <v>726765518.6994803</v>
      </c>
      <c r="O59" s="351">
        <v>0</v>
      </c>
      <c r="P59" s="350">
        <f t="shared" si="8"/>
        <v>0</v>
      </c>
      <c r="S59" s="327"/>
      <c r="T59" s="352"/>
      <c r="U59" s="330"/>
      <c r="V59" s="331"/>
      <c r="W59" s="352"/>
      <c r="X59" s="330"/>
      <c r="Y59" s="331"/>
    </row>
    <row r="60" spans="1:25" x14ac:dyDescent="0.2">
      <c r="A60" s="321">
        <f t="shared" si="9"/>
        <v>41</v>
      </c>
      <c r="C60" s="130" t="s">
        <v>12</v>
      </c>
      <c r="D60" s="325">
        <v>2015</v>
      </c>
      <c r="E60" s="348">
        <v>1454416.6666666667</v>
      </c>
      <c r="F60" s="348">
        <v>0</v>
      </c>
      <c r="G60" s="348">
        <v>109081.25</v>
      </c>
      <c r="H60" s="349">
        <v>0</v>
      </c>
      <c r="I60" s="328">
        <v>0</v>
      </c>
      <c r="J60" s="350">
        <v>0</v>
      </c>
      <c r="K60" s="332">
        <f t="shared" si="11"/>
        <v>739521913.39929986</v>
      </c>
      <c r="L60" s="332">
        <f t="shared" si="10"/>
        <v>1547615.975507871</v>
      </c>
      <c r="M60" s="332">
        <f t="shared" si="12"/>
        <v>12740512.758660819</v>
      </c>
      <c r="N60" s="332">
        <f t="shared" si="7"/>
        <v>726781400.64063907</v>
      </c>
      <c r="O60" s="351">
        <v>0</v>
      </c>
      <c r="P60" s="350">
        <f t="shared" si="8"/>
        <v>0</v>
      </c>
      <c r="S60" s="327"/>
      <c r="T60" s="352"/>
      <c r="U60" s="330"/>
      <c r="V60" s="331"/>
      <c r="W60" s="352"/>
      <c r="X60" s="330"/>
      <c r="Y60" s="331"/>
    </row>
    <row r="61" spans="1:25" x14ac:dyDescent="0.2">
      <c r="A61" s="321">
        <f t="shared" si="9"/>
        <v>42</v>
      </c>
      <c r="C61" s="118" t="s">
        <v>13</v>
      </c>
      <c r="D61" s="325">
        <v>2015</v>
      </c>
      <c r="E61" s="348">
        <v>753230449.91886675</v>
      </c>
      <c r="F61" s="348">
        <v>340246600.62000006</v>
      </c>
      <c r="G61" s="348">
        <v>30973788.697415002</v>
      </c>
      <c r="H61" s="349">
        <v>0</v>
      </c>
      <c r="I61" s="328">
        <v>0</v>
      </c>
      <c r="J61" s="350">
        <v>0</v>
      </c>
      <c r="K61" s="332">
        <f t="shared" si="11"/>
        <v>1523726152.0155818</v>
      </c>
      <c r="L61" s="332">
        <f t="shared" si="10"/>
        <v>1550894.878902345</v>
      </c>
      <c r="M61" s="332">
        <f t="shared" si="12"/>
        <v>14291407.637563165</v>
      </c>
      <c r="N61" s="332">
        <f t="shared" si="7"/>
        <v>1509434744.3780186</v>
      </c>
      <c r="O61" s="351">
        <v>0</v>
      </c>
      <c r="P61" s="350">
        <f t="shared" si="8"/>
        <v>0</v>
      </c>
      <c r="S61" s="327"/>
      <c r="T61" s="352"/>
      <c r="U61" s="330"/>
      <c r="V61" s="331"/>
      <c r="W61" s="352"/>
      <c r="X61" s="330"/>
      <c r="Y61" s="331"/>
    </row>
    <row r="62" spans="1:25" x14ac:dyDescent="0.2">
      <c r="A62" s="321">
        <f t="shared" si="9"/>
        <v>43</v>
      </c>
      <c r="C62" s="118" t="s">
        <v>391</v>
      </c>
      <c r="D62" s="325">
        <v>2015</v>
      </c>
      <c r="E62" s="348">
        <v>1647416.6666666667</v>
      </c>
      <c r="F62" s="348">
        <v>0</v>
      </c>
      <c r="G62" s="348">
        <v>123556.25</v>
      </c>
      <c r="H62" s="349">
        <v>0</v>
      </c>
      <c r="I62" s="328">
        <v>0</v>
      </c>
      <c r="J62" s="350">
        <v>0</v>
      </c>
      <c r="K62" s="332">
        <f t="shared" si="11"/>
        <v>1525497124.9322486</v>
      </c>
      <c r="L62" s="332">
        <f t="shared" si="10"/>
        <v>3195495.6887593684</v>
      </c>
      <c r="M62" s="332">
        <f t="shared" si="12"/>
        <v>17486903.326322533</v>
      </c>
      <c r="N62" s="332">
        <f t="shared" si="7"/>
        <v>1508010221.605926</v>
      </c>
      <c r="O62" s="351">
        <v>0</v>
      </c>
      <c r="P62" s="350">
        <f t="shared" si="8"/>
        <v>0</v>
      </c>
      <c r="S62" s="327"/>
      <c r="T62" s="352"/>
      <c r="U62" s="330"/>
      <c r="V62" s="331"/>
      <c r="W62" s="352"/>
      <c r="X62" s="330"/>
      <c r="Y62" s="331"/>
    </row>
    <row r="63" spans="1:25" x14ac:dyDescent="0.2">
      <c r="A63" s="321">
        <f t="shared" si="9"/>
        <v>44</v>
      </c>
      <c r="C63" s="130" t="s">
        <v>14</v>
      </c>
      <c r="D63" s="325">
        <v>2015</v>
      </c>
      <c r="E63" s="348">
        <v>454416.66666666669</v>
      </c>
      <c r="F63" s="348">
        <v>0</v>
      </c>
      <c r="G63" s="348">
        <v>34081.25</v>
      </c>
      <c r="H63" s="349">
        <v>0</v>
      </c>
      <c r="I63" s="328">
        <v>0</v>
      </c>
      <c r="J63" s="350">
        <v>0</v>
      </c>
      <c r="K63" s="332">
        <f t="shared" si="11"/>
        <v>1525985622.8489153</v>
      </c>
      <c r="L63" s="332">
        <f t="shared" si="10"/>
        <v>3199209.7001731861</v>
      </c>
      <c r="M63" s="332">
        <f t="shared" si="12"/>
        <v>20686113.026495717</v>
      </c>
      <c r="N63" s="332">
        <f t="shared" si="7"/>
        <v>1505299509.8224196</v>
      </c>
      <c r="O63" s="351">
        <v>0</v>
      </c>
      <c r="P63" s="350">
        <f t="shared" si="8"/>
        <v>0</v>
      </c>
      <c r="S63" s="327"/>
      <c r="T63" s="352"/>
      <c r="U63" s="330"/>
      <c r="V63" s="331"/>
      <c r="W63" s="352"/>
      <c r="X63" s="330"/>
      <c r="Y63" s="331"/>
    </row>
    <row r="64" spans="1:25" x14ac:dyDescent="0.2">
      <c r="A64" s="321">
        <f t="shared" si="9"/>
        <v>45</v>
      </c>
      <c r="C64" s="118" t="s">
        <v>15</v>
      </c>
      <c r="D64" s="325">
        <v>2015</v>
      </c>
      <c r="E64" s="348">
        <v>434416.66666666669</v>
      </c>
      <c r="F64" s="348">
        <v>0</v>
      </c>
      <c r="G64" s="348">
        <v>32581.25</v>
      </c>
      <c r="H64" s="349">
        <v>0</v>
      </c>
      <c r="I64" s="328">
        <v>0</v>
      </c>
      <c r="J64" s="350">
        <v>0</v>
      </c>
      <c r="K64" s="332">
        <f t="shared" si="11"/>
        <v>1526452620.7655821</v>
      </c>
      <c r="L64" s="332">
        <f t="shared" si="10"/>
        <v>3200234.1578715798</v>
      </c>
      <c r="M64" s="332">
        <f t="shared" si="12"/>
        <v>23886347.184367299</v>
      </c>
      <c r="N64" s="332">
        <f t="shared" si="7"/>
        <v>1502566273.5812149</v>
      </c>
      <c r="O64" s="351">
        <v>0</v>
      </c>
      <c r="P64" s="350">
        <f t="shared" si="8"/>
        <v>0</v>
      </c>
      <c r="S64" s="327"/>
      <c r="T64" s="352"/>
      <c r="U64" s="330"/>
      <c r="V64" s="331"/>
      <c r="W64" s="352"/>
      <c r="X64" s="330"/>
      <c r="Y64" s="331"/>
    </row>
    <row r="65" spans="1:25" x14ac:dyDescent="0.2">
      <c r="A65" s="321">
        <f t="shared" si="9"/>
        <v>46</v>
      </c>
      <c r="C65" s="118" t="s">
        <v>16</v>
      </c>
      <c r="D65" s="325">
        <v>2015</v>
      </c>
      <c r="E65" s="348">
        <v>404416.66666666669</v>
      </c>
      <c r="F65" s="348">
        <v>0</v>
      </c>
      <c r="G65" s="348">
        <v>30331.25</v>
      </c>
      <c r="H65" s="349">
        <v>0</v>
      </c>
      <c r="I65" s="328">
        <v>0</v>
      </c>
      <c r="J65" s="350">
        <v>0</v>
      </c>
      <c r="K65" s="332">
        <f t="shared" si="11"/>
        <v>1526887368.6822488</v>
      </c>
      <c r="L65" s="332">
        <f t="shared" si="10"/>
        <v>3201213.5266560521</v>
      </c>
      <c r="M65" s="332">
        <f t="shared" si="12"/>
        <v>27087560.711023353</v>
      </c>
      <c r="N65" s="332">
        <f t="shared" si="7"/>
        <v>1499799807.9712255</v>
      </c>
      <c r="O65" s="351">
        <v>0</v>
      </c>
      <c r="P65" s="350">
        <f t="shared" si="8"/>
        <v>0</v>
      </c>
      <c r="S65" s="327"/>
      <c r="T65" s="352"/>
      <c r="U65" s="330"/>
      <c r="V65" s="331"/>
      <c r="W65" s="352"/>
      <c r="X65" s="330"/>
      <c r="Y65" s="331"/>
    </row>
    <row r="66" spans="1:25" x14ac:dyDescent="0.2">
      <c r="A66" s="322">
        <f t="shared" si="9"/>
        <v>47</v>
      </c>
      <c r="C66" s="118" t="s">
        <v>18</v>
      </c>
      <c r="D66" s="325">
        <v>2015</v>
      </c>
      <c r="E66" s="348">
        <v>2904416.6666666665</v>
      </c>
      <c r="F66" s="348">
        <v>0</v>
      </c>
      <c r="G66" s="348">
        <v>217831.25</v>
      </c>
      <c r="H66" s="349">
        <v>0</v>
      </c>
      <c r="I66" s="328">
        <v>0</v>
      </c>
      <c r="J66" s="350">
        <v>0</v>
      </c>
      <c r="K66" s="332">
        <f t="shared" si="11"/>
        <v>1530009616.5989156</v>
      </c>
      <c r="L66" s="332">
        <f t="shared" si="10"/>
        <v>3202125.2620696421</v>
      </c>
      <c r="M66" s="332">
        <f t="shared" si="12"/>
        <v>30289685.973092996</v>
      </c>
      <c r="N66" s="332">
        <f t="shared" si="7"/>
        <v>1499719930.6258225</v>
      </c>
      <c r="O66" s="351">
        <v>0</v>
      </c>
      <c r="P66" s="350">
        <f t="shared" si="8"/>
        <v>0</v>
      </c>
      <c r="S66" s="327"/>
      <c r="T66" s="352"/>
      <c r="U66" s="330"/>
      <c r="V66" s="331"/>
      <c r="W66" s="352"/>
      <c r="X66" s="330"/>
      <c r="Y66" s="331"/>
    </row>
    <row r="67" spans="1:25" x14ac:dyDescent="0.2">
      <c r="A67" s="322">
        <f t="shared" si="9"/>
        <v>48</v>
      </c>
      <c r="C67" s="118" t="s">
        <v>17</v>
      </c>
      <c r="D67" s="325">
        <v>2015</v>
      </c>
      <c r="E67" s="348">
        <v>2954416.6666666665</v>
      </c>
      <c r="F67" s="348">
        <v>0</v>
      </c>
      <c r="G67" s="348">
        <v>221581.25</v>
      </c>
      <c r="H67" s="349">
        <v>0</v>
      </c>
      <c r="I67" s="328">
        <v>0</v>
      </c>
      <c r="J67" s="350">
        <v>0</v>
      </c>
      <c r="K67" s="332">
        <f t="shared" si="11"/>
        <v>1533185614.5155823</v>
      </c>
      <c r="L67" s="332">
        <f t="shared" si="10"/>
        <v>3208673.1117234323</v>
      </c>
      <c r="M67" s="332">
        <f t="shared" si="12"/>
        <v>33498359.084816426</v>
      </c>
      <c r="N67" s="332">
        <f t="shared" si="7"/>
        <v>1499687255.4307659</v>
      </c>
      <c r="O67" s="351">
        <v>0</v>
      </c>
      <c r="P67" s="350">
        <f t="shared" si="8"/>
        <v>0</v>
      </c>
      <c r="S67" s="327"/>
      <c r="T67" s="352"/>
      <c r="U67" s="330"/>
      <c r="V67" s="331"/>
      <c r="W67" s="352"/>
      <c r="X67" s="330"/>
      <c r="Y67" s="331"/>
    </row>
    <row r="68" spans="1:25" x14ac:dyDescent="0.2">
      <c r="A68" s="322">
        <f t="shared" si="9"/>
        <v>49</v>
      </c>
      <c r="C68" s="118" t="s">
        <v>9</v>
      </c>
      <c r="D68" s="325">
        <v>2015</v>
      </c>
      <c r="E68" s="348">
        <v>23691416.666666668</v>
      </c>
      <c r="F68" s="348">
        <v>0</v>
      </c>
      <c r="G68" s="348">
        <v>1776856.25</v>
      </c>
      <c r="H68" s="349">
        <v>0</v>
      </c>
      <c r="I68" s="328">
        <v>0</v>
      </c>
      <c r="J68" s="350">
        <v>0</v>
      </c>
      <c r="K68" s="332">
        <f t="shared" si="11"/>
        <v>1558653887.4322491</v>
      </c>
      <c r="L68" s="332">
        <f t="shared" si="10"/>
        <v>3215333.6836620267</v>
      </c>
      <c r="M68" s="332">
        <f t="shared" si="12"/>
        <v>36713692.768478453</v>
      </c>
      <c r="N68" s="332">
        <f t="shared" si="7"/>
        <v>1521940194.6637707</v>
      </c>
      <c r="O68" s="351">
        <v>0</v>
      </c>
      <c r="P68" s="350">
        <f t="shared" si="8"/>
        <v>0</v>
      </c>
      <c r="S68" s="327"/>
      <c r="T68" s="352"/>
      <c r="U68" s="330"/>
      <c r="V68" s="331"/>
      <c r="W68" s="352"/>
      <c r="X68" s="330"/>
      <c r="Y68" s="331"/>
    </row>
    <row r="69" spans="1:25" x14ac:dyDescent="0.2">
      <c r="A69" s="321"/>
      <c r="D69" s="354"/>
      <c r="G69" s="327"/>
      <c r="M69" s="100"/>
      <c r="N69" s="328"/>
    </row>
    <row r="70" spans="1:25" x14ac:dyDescent="0.2">
      <c r="A70" s="321"/>
      <c r="B70" s="145" t="s">
        <v>447</v>
      </c>
      <c r="D70" s="354"/>
      <c r="G70" s="355"/>
      <c r="M70" s="100"/>
      <c r="N70" s="328"/>
    </row>
    <row r="71" spans="1:25" x14ac:dyDescent="0.2">
      <c r="A71" s="321"/>
      <c r="E71" s="317" t="s">
        <v>167</v>
      </c>
      <c r="F71" s="317" t="s">
        <v>168</v>
      </c>
      <c r="G71" s="317" t="s">
        <v>184</v>
      </c>
      <c r="H71" s="317" t="s">
        <v>185</v>
      </c>
      <c r="I71" s="317" t="s">
        <v>186</v>
      </c>
      <c r="J71" s="317" t="s">
        <v>187</v>
      </c>
      <c r="K71" s="317" t="s">
        <v>188</v>
      </c>
      <c r="L71" s="317" t="s">
        <v>350</v>
      </c>
      <c r="M71" s="317" t="s">
        <v>404</v>
      </c>
      <c r="N71" s="317" t="s">
        <v>403</v>
      </c>
      <c r="O71" s="317" t="s">
        <v>402</v>
      </c>
      <c r="P71" s="317" t="s">
        <v>401</v>
      </c>
    </row>
    <row r="72" spans="1:25" ht="25.5" x14ac:dyDescent="0.2">
      <c r="A72" s="321"/>
      <c r="E72" s="319"/>
      <c r="F72" s="319"/>
      <c r="G72" s="356" t="str">
        <f>"=(C"&amp;RIGHT(E71)&amp;"-C"&amp;RIGHT(F71)&amp;")*L"&amp;$A$103</f>
        <v>=(C1-C2)*L74</v>
      </c>
      <c r="H72" s="319" t="str">
        <f>"=(C"&amp;RIGHT(E71)&amp;"-C"&amp;RIGHT(F71)&amp;"+C"&amp;RIGHT(G71)&amp;")*L"&amp;$A$107</f>
        <v>=(C1-C2+C3)*L75</v>
      </c>
      <c r="I72" s="319" t="str">
        <f>"=C"&amp;RIGHT(E71)&amp;"-C"&amp;RIGHT(F71)&amp;"+C"&amp;RIGHT(G71)&amp;"-C"&amp;RIGHT(H71)</f>
        <v>=C1-C2+C3-C4</v>
      </c>
      <c r="J72" s="356" t="str">
        <f>"=C"&amp;RIGHT(I71)&amp;"*L"&amp;$A$111</f>
        <v>=C5*L76</v>
      </c>
      <c r="K72" s="344" t="s">
        <v>448</v>
      </c>
      <c r="L72" s="345" t="s">
        <v>443</v>
      </c>
      <c r="M72" s="346" t="s">
        <v>444</v>
      </c>
      <c r="N72" s="319" t="str">
        <f>"=C"&amp;RIGHT(K71)&amp;"-C"&amp;RIGHT(M71)</f>
        <v>=C7-C9</v>
      </c>
      <c r="P72" s="346" t="s">
        <v>446</v>
      </c>
    </row>
    <row r="73" spans="1:25" x14ac:dyDescent="0.2">
      <c r="A73" s="321"/>
      <c r="C73" s="321" t="str">
        <f>C10</f>
        <v>Forecast</v>
      </c>
      <c r="E73" s="321" t="str">
        <f>E10</f>
        <v>Unloaded</v>
      </c>
      <c r="F73" s="321"/>
      <c r="G73" s="321"/>
      <c r="H73" s="322"/>
      <c r="I73" s="322" t="str">
        <f>I10</f>
        <v>AFUDC</v>
      </c>
      <c r="J73" s="322"/>
      <c r="K73" s="322"/>
      <c r="L73" s="322"/>
      <c r="M73" s="322"/>
      <c r="O73" s="321" t="str">
        <f>O10</f>
        <v>Unloaded</v>
      </c>
      <c r="P73" s="321" t="str">
        <f>P10</f>
        <v>Loaded</v>
      </c>
    </row>
    <row r="74" spans="1:25" x14ac:dyDescent="0.2">
      <c r="A74" s="321"/>
      <c r="C74" s="321" t="str">
        <f>C11</f>
        <v>Period</v>
      </c>
      <c r="E74" s="321" t="str">
        <f>E11</f>
        <v>Total</v>
      </c>
      <c r="F74" s="321" t="str">
        <f t="shared" ref="F74:H75" si="13">F11</f>
        <v>Prior Period</v>
      </c>
      <c r="G74" s="322" t="str">
        <f t="shared" si="13"/>
        <v>Over Heads</v>
      </c>
      <c r="H74" s="322" t="str">
        <f t="shared" si="13"/>
        <v xml:space="preserve">Cost of </v>
      </c>
      <c r="I74" s="322" t="str">
        <f>I11</f>
        <v>Eligible Plant</v>
      </c>
      <c r="J74" s="322"/>
      <c r="K74" s="322" t="str">
        <f t="shared" ref="K74:M74" si="14">K11</f>
        <v>Incremental</v>
      </c>
      <c r="L74" s="322" t="str">
        <f t="shared" si="14"/>
        <v>Depreciation</v>
      </c>
      <c r="M74" s="322" t="str">
        <f t="shared" si="14"/>
        <v>Incremental</v>
      </c>
      <c r="O74" s="322" t="str">
        <f>O11</f>
        <v>Low Voltage</v>
      </c>
      <c r="P74" s="322" t="str">
        <f>P11</f>
        <v>Low Voltage</v>
      </c>
      <c r="Q74" s="321"/>
    </row>
    <row r="75" spans="1:25" x14ac:dyDescent="0.2">
      <c r="A75" s="323" t="s">
        <v>170</v>
      </c>
      <c r="C75" s="128" t="str">
        <f>C12</f>
        <v>Month</v>
      </c>
      <c r="D75" s="128" t="str">
        <f>D12</f>
        <v>Year</v>
      </c>
      <c r="E75" s="318" t="str">
        <f>E12</f>
        <v>Plant Adds</v>
      </c>
      <c r="F75" s="318" t="str">
        <f t="shared" si="13"/>
        <v>CWIP Closed</v>
      </c>
      <c r="G75" s="324" t="str">
        <f t="shared" si="13"/>
        <v>Closed to PIS</v>
      </c>
      <c r="H75" s="324" t="str">
        <f t="shared" si="13"/>
        <v>Removal</v>
      </c>
      <c r="I75" s="324" t="str">
        <f>I12</f>
        <v>Additions</v>
      </c>
      <c r="J75" s="324" t="str">
        <f t="shared" ref="J75:P75" si="15">J12</f>
        <v>AFUDC</v>
      </c>
      <c r="K75" s="324" t="str">
        <f t="shared" si="15"/>
        <v>Gross Plant</v>
      </c>
      <c r="L75" s="324" t="str">
        <f t="shared" si="15"/>
        <v>Accrual</v>
      </c>
      <c r="M75" s="324" t="str">
        <f t="shared" si="15"/>
        <v>Reserve</v>
      </c>
      <c r="N75" s="324" t="str">
        <f t="shared" si="15"/>
        <v>Net Plant</v>
      </c>
      <c r="O75" s="324" t="str">
        <f t="shared" si="15"/>
        <v>Additions</v>
      </c>
      <c r="P75" s="324" t="str">
        <f t="shared" si="15"/>
        <v>Additions</v>
      </c>
      <c r="Q75" s="324"/>
      <c r="S75" s="357"/>
      <c r="T75" s="324"/>
      <c r="U75" s="324"/>
      <c r="V75" s="324"/>
      <c r="W75" s="324"/>
      <c r="X75" s="324"/>
      <c r="Y75" s="324"/>
    </row>
    <row r="76" spans="1:25" x14ac:dyDescent="0.2">
      <c r="A76" s="321">
        <f>A68+1</f>
        <v>50</v>
      </c>
      <c r="C76" s="130" t="str">
        <f t="shared" ref="C76:C99" si="16">C45</f>
        <v>January</v>
      </c>
      <c r="D76" s="325">
        <v>2014</v>
      </c>
      <c r="E76" s="358">
        <v>4779771.3230940048</v>
      </c>
      <c r="F76" s="358">
        <v>0</v>
      </c>
      <c r="G76" s="328">
        <f t="shared" ref="G76:G99" si="17">(E76-F76)*$E$103</f>
        <v>358482.84923205036</v>
      </c>
      <c r="H76" s="327">
        <f t="shared" ref="H76:H99" si="18">(E76-F76+G76)*$E$107</f>
        <v>411060.33378608443</v>
      </c>
      <c r="I76" s="328">
        <f>E76-F76+G76-H76</f>
        <v>4727193.838539971</v>
      </c>
      <c r="J76" s="328">
        <f t="shared" ref="J76:J99" si="19">I76*$E$111</f>
        <v>141815.81515619913</v>
      </c>
      <c r="K76" s="327">
        <f>F76+I76+J76</f>
        <v>4869009.6536961701</v>
      </c>
      <c r="L76" s="327">
        <v>0</v>
      </c>
      <c r="M76" s="327">
        <f>L76</f>
        <v>0</v>
      </c>
      <c r="N76" s="327">
        <f t="shared" ref="N76:N99" si="20">K76-M76</f>
        <v>4869009.6536961701</v>
      </c>
      <c r="O76" s="351">
        <v>44771.166666666664</v>
      </c>
      <c r="P76" s="327">
        <f t="shared" ref="P76:P99" si="21">O76*(1-$E$107)*(1+$E$103+$E$111)</f>
        <v>45514.368033333332</v>
      </c>
      <c r="Q76" s="352"/>
      <c r="R76" s="330"/>
      <c r="S76" s="352"/>
      <c r="T76" s="352"/>
      <c r="U76" s="330"/>
      <c r="V76" s="331"/>
      <c r="W76" s="352"/>
      <c r="X76" s="330"/>
      <c r="Y76" s="331"/>
    </row>
    <row r="77" spans="1:25" x14ac:dyDescent="0.2">
      <c r="A77" s="321">
        <f t="shared" si="9"/>
        <v>51</v>
      </c>
      <c r="C77" s="130" t="str">
        <f t="shared" si="16"/>
        <v>February</v>
      </c>
      <c r="D77" s="325">
        <v>2014</v>
      </c>
      <c r="E77" s="358">
        <v>4779771.3230940048</v>
      </c>
      <c r="F77" s="358">
        <v>0</v>
      </c>
      <c r="G77" s="328">
        <f t="shared" si="17"/>
        <v>358482.84923205036</v>
      </c>
      <c r="H77" s="327">
        <f t="shared" si="18"/>
        <v>411060.33378608443</v>
      </c>
      <c r="I77" s="328">
        <f t="shared" ref="I77:I99" si="22">E77-F77+G77-H77</f>
        <v>4727193.838539971</v>
      </c>
      <c r="J77" s="328">
        <f t="shared" si="19"/>
        <v>141815.81515619913</v>
      </c>
      <c r="K77" s="327">
        <f>K76+J77+I77+F77</f>
        <v>9738019.3073923402</v>
      </c>
      <c r="L77" s="332">
        <f t="shared" ref="L77:L99" si="23">K76*$E$133/12</f>
        <v>10211.086379486615</v>
      </c>
      <c r="M77" s="332">
        <f>M76+L77</f>
        <v>10211.086379486615</v>
      </c>
      <c r="N77" s="332">
        <f t="shared" si="20"/>
        <v>9727808.2210128531</v>
      </c>
      <c r="O77" s="351">
        <v>89542.333333333328</v>
      </c>
      <c r="P77" s="327">
        <f t="shared" si="21"/>
        <v>91028.736066666665</v>
      </c>
      <c r="Q77" s="352"/>
      <c r="R77" s="330"/>
      <c r="S77" s="352"/>
      <c r="T77" s="352"/>
      <c r="U77" s="330"/>
      <c r="V77" s="331"/>
      <c r="W77" s="352"/>
      <c r="X77" s="330"/>
      <c r="Y77" s="331"/>
    </row>
    <row r="78" spans="1:25" x14ac:dyDescent="0.2">
      <c r="A78" s="321">
        <f t="shared" si="9"/>
        <v>52</v>
      </c>
      <c r="C78" s="130" t="str">
        <f t="shared" si="16"/>
        <v>March</v>
      </c>
      <c r="D78" s="325">
        <v>2014</v>
      </c>
      <c r="E78" s="358">
        <v>4865688.8830940034</v>
      </c>
      <c r="F78" s="358">
        <v>55917.559999999983</v>
      </c>
      <c r="G78" s="328">
        <f t="shared" si="17"/>
        <v>360732.8492320503</v>
      </c>
      <c r="H78" s="327">
        <f t="shared" si="18"/>
        <v>413640.33378608437</v>
      </c>
      <c r="I78" s="328">
        <f t="shared" si="22"/>
        <v>4756863.8385399701</v>
      </c>
      <c r="J78" s="328">
        <f t="shared" si="19"/>
        <v>142705.9151561991</v>
      </c>
      <c r="K78" s="327">
        <f t="shared" ref="K78:K99" si="24">K77+J78+I78+F78</f>
        <v>14693506.62108851</v>
      </c>
      <c r="L78" s="332">
        <f t="shared" si="23"/>
        <v>20422.172758973229</v>
      </c>
      <c r="M78" s="332">
        <f t="shared" ref="M78:M99" si="25">M77+L78</f>
        <v>30633.259138459842</v>
      </c>
      <c r="N78" s="332">
        <f t="shared" si="20"/>
        <v>14662873.361950051</v>
      </c>
      <c r="O78" s="351">
        <v>134313.5</v>
      </c>
      <c r="P78" s="327">
        <f t="shared" si="21"/>
        <v>136543.1041</v>
      </c>
      <c r="Q78" s="352"/>
      <c r="R78" s="330"/>
      <c r="S78" s="352"/>
      <c r="T78" s="352"/>
      <c r="U78" s="330"/>
      <c r="V78" s="331"/>
      <c r="W78" s="352"/>
      <c r="X78" s="330"/>
      <c r="Y78" s="331"/>
    </row>
    <row r="79" spans="1:25" x14ac:dyDescent="0.2">
      <c r="A79" s="321">
        <f t="shared" si="9"/>
        <v>53</v>
      </c>
      <c r="C79" s="130" t="str">
        <f t="shared" si="16"/>
        <v>April</v>
      </c>
      <c r="D79" s="325">
        <v>2014</v>
      </c>
      <c r="E79" s="358">
        <v>13478788.107094003</v>
      </c>
      <c r="F79" s="358">
        <v>8599896.7839999981</v>
      </c>
      <c r="G79" s="328">
        <f t="shared" si="17"/>
        <v>365916.84923205036</v>
      </c>
      <c r="H79" s="327">
        <f t="shared" si="18"/>
        <v>419584.65378608444</v>
      </c>
      <c r="I79" s="328">
        <f t="shared" si="22"/>
        <v>4825223.5185399707</v>
      </c>
      <c r="J79" s="328">
        <f t="shared" si="19"/>
        <v>144756.70555619913</v>
      </c>
      <c r="K79" s="327">
        <f t="shared" si="24"/>
        <v>28263383.629184678</v>
      </c>
      <c r="L79" s="332">
        <f t="shared" si="23"/>
        <v>30814.616523012475</v>
      </c>
      <c r="M79" s="332">
        <f t="shared" si="25"/>
        <v>61447.875661472317</v>
      </c>
      <c r="N79" s="332">
        <f t="shared" si="20"/>
        <v>28201935.753523204</v>
      </c>
      <c r="O79" s="351">
        <v>179084.66666666666</v>
      </c>
      <c r="P79" s="327">
        <f t="shared" si="21"/>
        <v>182057.47213333333</v>
      </c>
      <c r="Q79" s="352"/>
      <c r="R79" s="330"/>
      <c r="S79" s="352"/>
      <c r="T79" s="352"/>
      <c r="U79" s="330"/>
      <c r="V79" s="331"/>
      <c r="W79" s="352"/>
      <c r="X79" s="330"/>
      <c r="Y79" s="331"/>
    </row>
    <row r="80" spans="1:25" x14ac:dyDescent="0.2">
      <c r="A80" s="321">
        <f t="shared" si="9"/>
        <v>54</v>
      </c>
      <c r="C80" s="130" t="str">
        <f t="shared" si="16"/>
        <v>May</v>
      </c>
      <c r="D80" s="325">
        <v>2014</v>
      </c>
      <c r="E80" s="358">
        <v>7217564.9930940047</v>
      </c>
      <c r="F80" s="358">
        <v>437793.67000000057</v>
      </c>
      <c r="G80" s="328">
        <f t="shared" si="17"/>
        <v>508482.84923205024</v>
      </c>
      <c r="H80" s="327">
        <f t="shared" si="18"/>
        <v>583060.33378608432</v>
      </c>
      <c r="I80" s="328">
        <f t="shared" si="22"/>
        <v>6705193.8385399701</v>
      </c>
      <c r="J80" s="328">
        <f t="shared" si="19"/>
        <v>201155.8151561991</v>
      </c>
      <c r="K80" s="327">
        <f t="shared" si="24"/>
        <v>35607526.952880852</v>
      </c>
      <c r="L80" s="332">
        <f t="shared" si="23"/>
        <v>59272.803329746996</v>
      </c>
      <c r="M80" s="332">
        <f t="shared" si="25"/>
        <v>120720.67899121932</v>
      </c>
      <c r="N80" s="332">
        <f t="shared" si="20"/>
        <v>35486806.273889631</v>
      </c>
      <c r="O80" s="351">
        <v>223855.83333333331</v>
      </c>
      <c r="P80" s="327">
        <f t="shared" si="21"/>
        <v>227571.84016666666</v>
      </c>
      <c r="Q80" s="352"/>
      <c r="R80" s="330"/>
      <c r="S80" s="352"/>
      <c r="T80" s="352"/>
      <c r="U80" s="330"/>
      <c r="V80" s="331"/>
      <c r="W80" s="352"/>
      <c r="X80" s="330"/>
      <c r="Y80" s="331"/>
    </row>
    <row r="81" spans="1:25" x14ac:dyDescent="0.2">
      <c r="A81" s="321">
        <f t="shared" si="9"/>
        <v>55</v>
      </c>
      <c r="C81" s="130" t="str">
        <f t="shared" si="16"/>
        <v xml:space="preserve">June </v>
      </c>
      <c r="D81" s="325">
        <v>2014</v>
      </c>
      <c r="E81" s="358">
        <v>6863106.7268940061</v>
      </c>
      <c r="F81" s="358">
        <v>1199375.4037999983</v>
      </c>
      <c r="G81" s="328">
        <f t="shared" si="17"/>
        <v>424779.84923205053</v>
      </c>
      <c r="H81" s="327">
        <f t="shared" si="18"/>
        <v>487080.89378608466</v>
      </c>
      <c r="I81" s="328">
        <f t="shared" si="22"/>
        <v>5601430.2785399733</v>
      </c>
      <c r="J81" s="328">
        <f t="shared" si="19"/>
        <v>168042.90835619919</v>
      </c>
      <c r="K81" s="327">
        <f t="shared" si="24"/>
        <v>42576375.543577015</v>
      </c>
      <c r="L81" s="332">
        <f t="shared" si="23"/>
        <v>74674.63803440069</v>
      </c>
      <c r="M81" s="332">
        <f t="shared" si="25"/>
        <v>195395.31702562002</v>
      </c>
      <c r="N81" s="332">
        <f t="shared" si="20"/>
        <v>42380980.226551399</v>
      </c>
      <c r="O81" s="351">
        <v>1359687.2300000002</v>
      </c>
      <c r="P81" s="327">
        <f t="shared" si="21"/>
        <v>1382258.0380180003</v>
      </c>
      <c r="Q81" s="352"/>
      <c r="R81" s="330"/>
      <c r="S81" s="352"/>
      <c r="T81" s="352"/>
      <c r="U81" s="330"/>
      <c r="V81" s="331"/>
      <c r="W81" s="352"/>
      <c r="X81" s="330"/>
      <c r="Y81" s="331"/>
    </row>
    <row r="82" spans="1:25" x14ac:dyDescent="0.2">
      <c r="A82" s="321">
        <f t="shared" si="9"/>
        <v>56</v>
      </c>
      <c r="C82" s="130" t="str">
        <f t="shared" si="16"/>
        <v>July</v>
      </c>
      <c r="D82" s="325">
        <v>2014</v>
      </c>
      <c r="E82" s="358">
        <v>9610357.7630940005</v>
      </c>
      <c r="F82" s="358">
        <v>4158586.44</v>
      </c>
      <c r="G82" s="328">
        <f t="shared" si="17"/>
        <v>408882.84923205007</v>
      </c>
      <c r="H82" s="327">
        <f t="shared" si="18"/>
        <v>468852.33378608408</v>
      </c>
      <c r="I82" s="328">
        <f t="shared" si="22"/>
        <v>5391801.8385399664</v>
      </c>
      <c r="J82" s="328">
        <f t="shared" si="19"/>
        <v>161754.055156199</v>
      </c>
      <c r="K82" s="327">
        <f t="shared" si="24"/>
        <v>52288517.87727318</v>
      </c>
      <c r="L82" s="332">
        <f t="shared" si="23"/>
        <v>89289.420092009343</v>
      </c>
      <c r="M82" s="332">
        <f t="shared" si="25"/>
        <v>284684.73711762938</v>
      </c>
      <c r="N82" s="332">
        <f t="shared" si="20"/>
        <v>52003833.140155554</v>
      </c>
      <c r="O82" s="351">
        <v>1404458.396666667</v>
      </c>
      <c r="P82" s="327">
        <f t="shared" si="21"/>
        <v>1427772.4060513338</v>
      </c>
      <c r="Q82" s="352"/>
      <c r="R82" s="330"/>
      <c r="S82" s="352"/>
      <c r="T82" s="352"/>
      <c r="U82" s="330"/>
      <c r="V82" s="331"/>
      <c r="W82" s="352"/>
      <c r="X82" s="330"/>
      <c r="Y82" s="331"/>
    </row>
    <row r="83" spans="1:25" x14ac:dyDescent="0.2">
      <c r="A83" s="321">
        <f t="shared" si="9"/>
        <v>57</v>
      </c>
      <c r="C83" s="130" t="str">
        <f t="shared" si="16"/>
        <v>August</v>
      </c>
      <c r="D83" s="325">
        <v>2014</v>
      </c>
      <c r="E83" s="358">
        <v>6112745.3530940041</v>
      </c>
      <c r="F83" s="358">
        <v>732974.02999999945</v>
      </c>
      <c r="G83" s="328">
        <f t="shared" si="17"/>
        <v>403482.84923205036</v>
      </c>
      <c r="H83" s="327">
        <f t="shared" si="18"/>
        <v>462660.33378608443</v>
      </c>
      <c r="I83" s="328">
        <f t="shared" si="22"/>
        <v>5320593.838539971</v>
      </c>
      <c r="J83" s="328">
        <f t="shared" si="19"/>
        <v>159617.81515619913</v>
      </c>
      <c r="K83" s="327">
        <f t="shared" si="24"/>
        <v>58501703.560969353</v>
      </c>
      <c r="L83" s="332">
        <f t="shared" si="23"/>
        <v>109657.32472821332</v>
      </c>
      <c r="M83" s="332">
        <f t="shared" si="25"/>
        <v>394342.06184584269</v>
      </c>
      <c r="N83" s="332">
        <f t="shared" si="20"/>
        <v>58107361.499123514</v>
      </c>
      <c r="O83" s="351">
        <v>2782203.5933333328</v>
      </c>
      <c r="P83" s="327">
        <f t="shared" si="21"/>
        <v>2828388.1729826662</v>
      </c>
      <c r="Q83" s="352"/>
      <c r="R83" s="330"/>
      <c r="S83" s="352"/>
      <c r="T83" s="352"/>
      <c r="U83" s="330"/>
      <c r="V83" s="331"/>
      <c r="W83" s="352"/>
      <c r="X83" s="330"/>
      <c r="Y83" s="331"/>
    </row>
    <row r="84" spans="1:25" x14ac:dyDescent="0.2">
      <c r="A84" s="321">
        <f t="shared" si="9"/>
        <v>58</v>
      </c>
      <c r="C84" s="130" t="str">
        <f t="shared" si="16"/>
        <v>September</v>
      </c>
      <c r="D84" s="325">
        <v>2014</v>
      </c>
      <c r="E84" s="358">
        <v>158822660.10309401</v>
      </c>
      <c r="F84" s="358">
        <v>100831048.77999996</v>
      </c>
      <c r="G84" s="328">
        <f t="shared" si="17"/>
        <v>4349370.8492320543</v>
      </c>
      <c r="H84" s="327">
        <f t="shared" si="18"/>
        <v>4987278.5737860892</v>
      </c>
      <c r="I84" s="328">
        <f t="shared" si="22"/>
        <v>57353703.598540023</v>
      </c>
      <c r="J84" s="328">
        <f t="shared" si="19"/>
        <v>1720611.1079562006</v>
      </c>
      <c r="K84" s="327">
        <f t="shared" si="24"/>
        <v>218407067.04746553</v>
      </c>
      <c r="L84" s="332">
        <f t="shared" si="23"/>
        <v>122687.3616803582</v>
      </c>
      <c r="M84" s="332">
        <f t="shared" si="25"/>
        <v>517029.42352620087</v>
      </c>
      <c r="N84" s="332">
        <f t="shared" si="20"/>
        <v>217890037.62393934</v>
      </c>
      <c r="O84" s="351">
        <v>2826974.76</v>
      </c>
      <c r="P84" s="327">
        <f t="shared" si="21"/>
        <v>2873902.5410159999</v>
      </c>
      <c r="Q84" s="352"/>
      <c r="R84" s="330"/>
      <c r="S84" s="352"/>
      <c r="T84" s="352"/>
      <c r="U84" s="330"/>
      <c r="V84" s="331"/>
      <c r="W84" s="352"/>
      <c r="X84" s="330"/>
      <c r="Y84" s="331"/>
    </row>
    <row r="85" spans="1:25" x14ac:dyDescent="0.2">
      <c r="A85" s="321">
        <f t="shared" si="9"/>
        <v>59</v>
      </c>
      <c r="C85" s="130" t="str">
        <f t="shared" si="16"/>
        <v xml:space="preserve">October </v>
      </c>
      <c r="D85" s="325">
        <v>2014</v>
      </c>
      <c r="E85" s="358">
        <v>16708789.373093873</v>
      </c>
      <c r="F85" s="358">
        <v>10774195.049999921</v>
      </c>
      <c r="G85" s="328">
        <f t="shared" si="17"/>
        <v>445094.57423204643</v>
      </c>
      <c r="H85" s="327">
        <f t="shared" si="18"/>
        <v>510375.11178607994</v>
      </c>
      <c r="I85" s="328">
        <f t="shared" si="22"/>
        <v>5869313.7855399195</v>
      </c>
      <c r="J85" s="328">
        <f t="shared" si="19"/>
        <v>176079.41356619759</v>
      </c>
      <c r="K85" s="327">
        <f t="shared" si="24"/>
        <v>235226655.29657158</v>
      </c>
      <c r="L85" s="332">
        <f t="shared" si="23"/>
        <v>458034.2998126985</v>
      </c>
      <c r="M85" s="332">
        <f t="shared" si="25"/>
        <v>975063.72333889944</v>
      </c>
      <c r="N85" s="332">
        <f t="shared" si="20"/>
        <v>234251591.57323268</v>
      </c>
      <c r="O85" s="351">
        <v>2871745.9266666663</v>
      </c>
      <c r="P85" s="327">
        <f t="shared" si="21"/>
        <v>2919416.9090493326</v>
      </c>
      <c r="Q85" s="352"/>
      <c r="R85" s="330"/>
      <c r="S85" s="352"/>
      <c r="T85" s="352"/>
      <c r="U85" s="330"/>
      <c r="V85" s="331"/>
      <c r="W85" s="352"/>
      <c r="X85" s="330"/>
      <c r="Y85" s="331"/>
    </row>
    <row r="86" spans="1:25" x14ac:dyDescent="0.2">
      <c r="A86" s="321">
        <f t="shared" si="9"/>
        <v>60</v>
      </c>
      <c r="C86" s="130" t="str">
        <f t="shared" si="16"/>
        <v>November</v>
      </c>
      <c r="D86" s="325">
        <v>2014</v>
      </c>
      <c r="E86" s="358">
        <v>4779771.3230940104</v>
      </c>
      <c r="F86" s="358">
        <v>0</v>
      </c>
      <c r="G86" s="328">
        <f t="shared" si="17"/>
        <v>358482.84923205076</v>
      </c>
      <c r="H86" s="327">
        <f t="shared" si="18"/>
        <v>411060.3337860849</v>
      </c>
      <c r="I86" s="328">
        <f t="shared" si="22"/>
        <v>4727193.8385399757</v>
      </c>
      <c r="J86" s="328">
        <f t="shared" si="19"/>
        <v>141815.81515619927</v>
      </c>
      <c r="K86" s="327">
        <f t="shared" si="24"/>
        <v>240095664.95026776</v>
      </c>
      <c r="L86" s="332">
        <f t="shared" si="23"/>
        <v>493307.64710389636</v>
      </c>
      <c r="M86" s="332">
        <f t="shared" si="25"/>
        <v>1468371.3704427958</v>
      </c>
      <c r="N86" s="332">
        <f t="shared" si="20"/>
        <v>238627293.57982495</v>
      </c>
      <c r="O86" s="351">
        <v>2916517.0933333333</v>
      </c>
      <c r="P86" s="327">
        <f t="shared" si="21"/>
        <v>2964931.2770826663</v>
      </c>
      <c r="Q86" s="352"/>
      <c r="R86" s="330"/>
      <c r="S86" s="352"/>
      <c r="T86" s="352"/>
      <c r="U86" s="330"/>
      <c r="V86" s="331"/>
      <c r="W86" s="352"/>
      <c r="X86" s="330"/>
      <c r="Y86" s="331"/>
    </row>
    <row r="87" spans="1:25" x14ac:dyDescent="0.2">
      <c r="A87" s="321">
        <f t="shared" si="9"/>
        <v>61</v>
      </c>
      <c r="C87" s="130" t="str">
        <f t="shared" si="16"/>
        <v>December</v>
      </c>
      <c r="D87" s="325">
        <v>2014</v>
      </c>
      <c r="E87" s="358">
        <v>92705307.119093984</v>
      </c>
      <c r="F87" s="358">
        <v>25909728.005999994</v>
      </c>
      <c r="G87" s="328">
        <f t="shared" si="17"/>
        <v>5009668.433482049</v>
      </c>
      <c r="H87" s="327">
        <f t="shared" si="18"/>
        <v>5744419.8037260836</v>
      </c>
      <c r="I87" s="328">
        <f t="shared" si="22"/>
        <v>66060827.742849953</v>
      </c>
      <c r="J87" s="328">
        <f t="shared" si="19"/>
        <v>1981824.8322854985</v>
      </c>
      <c r="K87" s="327">
        <f t="shared" si="24"/>
        <v>334048045.53140318</v>
      </c>
      <c r="L87" s="332">
        <f t="shared" si="23"/>
        <v>503518.73348338297</v>
      </c>
      <c r="M87" s="332">
        <f t="shared" si="25"/>
        <v>1971890.1039261788</v>
      </c>
      <c r="N87" s="332">
        <f t="shared" si="20"/>
        <v>332076155.427477</v>
      </c>
      <c r="O87" s="351">
        <v>2961288.2600000002</v>
      </c>
      <c r="P87" s="327">
        <f t="shared" si="21"/>
        <v>3010445.645116</v>
      </c>
      <c r="Q87" s="352"/>
      <c r="R87" s="330"/>
      <c r="S87" s="352"/>
      <c r="T87" s="352"/>
      <c r="U87" s="330"/>
      <c r="V87" s="331"/>
      <c r="W87" s="352"/>
      <c r="X87" s="330"/>
      <c r="Y87" s="331"/>
    </row>
    <row r="88" spans="1:25" x14ac:dyDescent="0.2">
      <c r="A88" s="321">
        <f t="shared" si="9"/>
        <v>62</v>
      </c>
      <c r="C88" s="130" t="str">
        <f t="shared" si="16"/>
        <v>January</v>
      </c>
      <c r="D88" s="325">
        <v>2015</v>
      </c>
      <c r="E88" s="358">
        <v>9804035.1742464304</v>
      </c>
      <c r="F88" s="358">
        <v>0</v>
      </c>
      <c r="G88" s="328">
        <f t="shared" si="17"/>
        <v>735302.63806848228</v>
      </c>
      <c r="H88" s="327">
        <f t="shared" si="18"/>
        <v>843147.02498519304</v>
      </c>
      <c r="I88" s="328">
        <f t="shared" si="22"/>
        <v>9696190.7873297203</v>
      </c>
      <c r="J88" s="328">
        <f t="shared" si="19"/>
        <v>290885.72361989162</v>
      </c>
      <c r="K88" s="327">
        <f t="shared" si="24"/>
        <v>344035122.0423528</v>
      </c>
      <c r="L88" s="332">
        <f t="shared" si="23"/>
        <v>700551.79398350057</v>
      </c>
      <c r="M88" s="332">
        <f t="shared" si="25"/>
        <v>2672441.8979096795</v>
      </c>
      <c r="N88" s="332">
        <f t="shared" si="20"/>
        <v>341362680.14444309</v>
      </c>
      <c r="O88" s="351">
        <v>2961288.2600000002</v>
      </c>
      <c r="P88" s="327">
        <f t="shared" si="21"/>
        <v>3010445.645116</v>
      </c>
      <c r="Q88" s="352"/>
      <c r="R88" s="330"/>
      <c r="S88" s="352"/>
      <c r="T88" s="352"/>
      <c r="U88" s="330"/>
      <c r="V88" s="331"/>
      <c r="W88" s="352"/>
      <c r="X88" s="330"/>
      <c r="Y88" s="331"/>
    </row>
    <row r="89" spans="1:25" x14ac:dyDescent="0.2">
      <c r="A89" s="321">
        <f t="shared" si="9"/>
        <v>63</v>
      </c>
      <c r="C89" s="130" t="str">
        <f t="shared" si="16"/>
        <v>February</v>
      </c>
      <c r="D89" s="325">
        <v>2015</v>
      </c>
      <c r="E89" s="358">
        <v>9804035.1742464304</v>
      </c>
      <c r="F89" s="358">
        <v>0</v>
      </c>
      <c r="G89" s="328">
        <f t="shared" si="17"/>
        <v>735302.63806848228</v>
      </c>
      <c r="H89" s="327">
        <f t="shared" si="18"/>
        <v>843147.02498519304</v>
      </c>
      <c r="I89" s="328">
        <f t="shared" si="22"/>
        <v>9696190.7873297203</v>
      </c>
      <c r="J89" s="328">
        <f t="shared" si="19"/>
        <v>290885.72361989162</v>
      </c>
      <c r="K89" s="327">
        <f t="shared" si="24"/>
        <v>354022198.55330241</v>
      </c>
      <c r="L89" s="332">
        <f t="shared" si="23"/>
        <v>721496.27924539242</v>
      </c>
      <c r="M89" s="332">
        <f t="shared" si="25"/>
        <v>3393938.1771550719</v>
      </c>
      <c r="N89" s="332">
        <f t="shared" si="20"/>
        <v>350628260.37614733</v>
      </c>
      <c r="O89" s="351">
        <v>2961288.2600000002</v>
      </c>
      <c r="P89" s="327">
        <f t="shared" si="21"/>
        <v>3010445.645116</v>
      </c>
      <c r="Q89" s="352"/>
      <c r="R89" s="330"/>
      <c r="S89" s="352"/>
      <c r="T89" s="352"/>
      <c r="U89" s="330"/>
      <c r="V89" s="331"/>
      <c r="W89" s="352"/>
      <c r="X89" s="330"/>
      <c r="Y89" s="331"/>
    </row>
    <row r="90" spans="1:25" x14ac:dyDescent="0.2">
      <c r="A90" s="321">
        <f t="shared" si="9"/>
        <v>64</v>
      </c>
      <c r="C90" s="130" t="str">
        <f t="shared" si="16"/>
        <v>March</v>
      </c>
      <c r="D90" s="325">
        <v>2015</v>
      </c>
      <c r="E90" s="358">
        <v>9804035.1742463708</v>
      </c>
      <c r="F90" s="358">
        <v>0</v>
      </c>
      <c r="G90" s="328">
        <f t="shared" si="17"/>
        <v>735302.63806847774</v>
      </c>
      <c r="H90" s="327">
        <f t="shared" si="18"/>
        <v>843147.02498518792</v>
      </c>
      <c r="I90" s="328">
        <f t="shared" si="22"/>
        <v>9696190.7873296607</v>
      </c>
      <c r="J90" s="328">
        <f t="shared" si="19"/>
        <v>290885.72361988982</v>
      </c>
      <c r="K90" s="327">
        <f t="shared" si="24"/>
        <v>364009275.06425196</v>
      </c>
      <c r="L90" s="332">
        <f t="shared" si="23"/>
        <v>742440.76450728427</v>
      </c>
      <c r="M90" s="332">
        <f t="shared" si="25"/>
        <v>4136378.9416623563</v>
      </c>
      <c r="N90" s="332">
        <f t="shared" si="20"/>
        <v>359872896.12258959</v>
      </c>
      <c r="O90" s="351">
        <v>2961288.2600000002</v>
      </c>
      <c r="P90" s="327">
        <f t="shared" si="21"/>
        <v>3010445.645116</v>
      </c>
      <c r="Q90" s="352"/>
      <c r="R90" s="330"/>
      <c r="S90" s="352"/>
      <c r="T90" s="352"/>
      <c r="U90" s="330"/>
      <c r="V90" s="331"/>
      <c r="W90" s="352"/>
      <c r="X90" s="330"/>
      <c r="Y90" s="331"/>
    </row>
    <row r="91" spans="1:25" x14ac:dyDescent="0.2">
      <c r="A91" s="321">
        <f t="shared" si="9"/>
        <v>65</v>
      </c>
      <c r="C91" s="130" t="str">
        <f t="shared" si="16"/>
        <v>April</v>
      </c>
      <c r="D91" s="325">
        <v>2015</v>
      </c>
      <c r="E91" s="358">
        <v>9804035.1742464304</v>
      </c>
      <c r="F91" s="358">
        <v>0</v>
      </c>
      <c r="G91" s="328">
        <f t="shared" si="17"/>
        <v>735302.63806848228</v>
      </c>
      <c r="H91" s="327">
        <f t="shared" si="18"/>
        <v>843147.02498519304</v>
      </c>
      <c r="I91" s="328">
        <f t="shared" si="22"/>
        <v>9696190.7873297203</v>
      </c>
      <c r="J91" s="328">
        <f t="shared" si="19"/>
        <v>290885.72361989162</v>
      </c>
      <c r="K91" s="327">
        <f t="shared" si="24"/>
        <v>373996351.57520157</v>
      </c>
      <c r="L91" s="332">
        <f t="shared" si="23"/>
        <v>763385.24976917589</v>
      </c>
      <c r="M91" s="332">
        <f t="shared" si="25"/>
        <v>4899764.1914315317</v>
      </c>
      <c r="N91" s="332">
        <f t="shared" si="20"/>
        <v>369096587.38377005</v>
      </c>
      <c r="O91" s="351">
        <v>2961288.2600000002</v>
      </c>
      <c r="P91" s="327">
        <f t="shared" si="21"/>
        <v>3010445.645116</v>
      </c>
      <c r="Q91" s="352"/>
      <c r="R91" s="330"/>
      <c r="S91" s="352"/>
      <c r="T91" s="352"/>
      <c r="U91" s="330"/>
      <c r="V91" s="331"/>
      <c r="W91" s="352"/>
      <c r="X91" s="330"/>
      <c r="Y91" s="331"/>
    </row>
    <row r="92" spans="1:25" x14ac:dyDescent="0.2">
      <c r="A92" s="321">
        <f t="shared" si="9"/>
        <v>66</v>
      </c>
      <c r="C92" s="130" t="str">
        <f t="shared" si="16"/>
        <v>May</v>
      </c>
      <c r="D92" s="325">
        <v>2015</v>
      </c>
      <c r="E92" s="358">
        <v>11807165.104246438</v>
      </c>
      <c r="F92" s="358">
        <v>3129.9300000000007</v>
      </c>
      <c r="G92" s="328">
        <f t="shared" si="17"/>
        <v>885302.63806848286</v>
      </c>
      <c r="H92" s="327">
        <f t="shared" si="18"/>
        <v>1015147.0249851936</v>
      </c>
      <c r="I92" s="328">
        <f t="shared" si="22"/>
        <v>11674190.787329726</v>
      </c>
      <c r="J92" s="328">
        <f t="shared" si="19"/>
        <v>350225.72361989174</v>
      </c>
      <c r="K92" s="327">
        <f t="shared" si="24"/>
        <v>386023898.01615119</v>
      </c>
      <c r="L92" s="332">
        <f t="shared" si="23"/>
        <v>784329.73503106774</v>
      </c>
      <c r="M92" s="332">
        <f t="shared" si="25"/>
        <v>5684093.9264625991</v>
      </c>
      <c r="N92" s="332">
        <f t="shared" si="20"/>
        <v>380339804.0896886</v>
      </c>
      <c r="O92" s="351">
        <v>2961288.2600000002</v>
      </c>
      <c r="P92" s="327">
        <f t="shared" si="21"/>
        <v>3010445.645116</v>
      </c>
      <c r="Q92" s="352"/>
      <c r="R92" s="330"/>
      <c r="S92" s="352"/>
      <c r="T92" s="352"/>
      <c r="U92" s="330"/>
      <c r="V92" s="331"/>
      <c r="W92" s="352"/>
      <c r="X92" s="330"/>
      <c r="Y92" s="331"/>
    </row>
    <row r="93" spans="1:25" x14ac:dyDescent="0.2">
      <c r="A93" s="321">
        <f t="shared" si="9"/>
        <v>67</v>
      </c>
      <c r="C93" s="130" t="str">
        <f t="shared" si="16"/>
        <v xml:space="preserve">June </v>
      </c>
      <c r="D93" s="325">
        <v>2015</v>
      </c>
      <c r="E93" s="358">
        <v>16411946.336846411</v>
      </c>
      <c r="F93" s="358">
        <v>4282911.1626000023</v>
      </c>
      <c r="G93" s="328">
        <f t="shared" si="17"/>
        <v>909677.63806848053</v>
      </c>
      <c r="H93" s="327">
        <f t="shared" si="18"/>
        <v>1043097.0249851911</v>
      </c>
      <c r="I93" s="328">
        <f t="shared" si="22"/>
        <v>11995615.787329698</v>
      </c>
      <c r="J93" s="328">
        <f t="shared" si="19"/>
        <v>359868.47361989092</v>
      </c>
      <c r="K93" s="327">
        <f t="shared" si="24"/>
        <v>402662293.43970072</v>
      </c>
      <c r="L93" s="332">
        <f t="shared" si="23"/>
        <v>809553.409736373</v>
      </c>
      <c r="M93" s="332">
        <f t="shared" si="25"/>
        <v>6493647.3361989725</v>
      </c>
      <c r="N93" s="332">
        <f t="shared" si="20"/>
        <v>396168646.10350174</v>
      </c>
      <c r="O93" s="351">
        <v>2961288.2600000002</v>
      </c>
      <c r="P93" s="327">
        <f t="shared" si="21"/>
        <v>3010445.645116</v>
      </c>
      <c r="Q93" s="352"/>
      <c r="R93" s="330"/>
      <c r="S93" s="352"/>
      <c r="T93" s="352"/>
      <c r="U93" s="330"/>
      <c r="V93" s="331"/>
      <c r="W93" s="352"/>
      <c r="X93" s="330"/>
      <c r="Y93" s="331"/>
    </row>
    <row r="94" spans="1:25" x14ac:dyDescent="0.2">
      <c r="A94" s="321">
        <f t="shared" si="9"/>
        <v>68</v>
      </c>
      <c r="C94" s="130" t="str">
        <f t="shared" si="16"/>
        <v>July</v>
      </c>
      <c r="D94" s="325">
        <v>2015</v>
      </c>
      <c r="E94" s="358">
        <v>9804035.1742464304</v>
      </c>
      <c r="F94" s="358">
        <v>0</v>
      </c>
      <c r="G94" s="328">
        <f t="shared" si="17"/>
        <v>735302.63806848228</v>
      </c>
      <c r="H94" s="327">
        <f t="shared" si="18"/>
        <v>843147.02498519304</v>
      </c>
      <c r="I94" s="328">
        <f t="shared" si="22"/>
        <v>9696190.7873297203</v>
      </c>
      <c r="J94" s="328">
        <f t="shared" si="19"/>
        <v>290885.72361989162</v>
      </c>
      <c r="K94" s="327">
        <f t="shared" si="24"/>
        <v>412649369.95065033</v>
      </c>
      <c r="L94" s="332">
        <f t="shared" si="23"/>
        <v>844446.76690130436</v>
      </c>
      <c r="M94" s="332">
        <f t="shared" si="25"/>
        <v>7338094.1031002766</v>
      </c>
      <c r="N94" s="332">
        <f t="shared" si="20"/>
        <v>405311275.84755003</v>
      </c>
      <c r="O94" s="351">
        <v>2961288.2600000002</v>
      </c>
      <c r="P94" s="327">
        <f t="shared" si="21"/>
        <v>3010445.645116</v>
      </c>
      <c r="Q94" s="352"/>
      <c r="R94" s="330"/>
      <c r="S94" s="352"/>
      <c r="T94" s="352"/>
      <c r="U94" s="330"/>
      <c r="V94" s="331"/>
      <c r="W94" s="352"/>
      <c r="X94" s="330"/>
      <c r="Y94" s="331"/>
    </row>
    <row r="95" spans="1:25" x14ac:dyDescent="0.2">
      <c r="A95" s="321">
        <f t="shared" si="9"/>
        <v>69</v>
      </c>
      <c r="C95" s="130" t="str">
        <f t="shared" si="16"/>
        <v>August</v>
      </c>
      <c r="D95" s="325">
        <v>2015</v>
      </c>
      <c r="E95" s="358">
        <v>9804035.1742464304</v>
      </c>
      <c r="F95" s="358">
        <v>0</v>
      </c>
      <c r="G95" s="328">
        <f t="shared" si="17"/>
        <v>735302.63806848228</v>
      </c>
      <c r="H95" s="327">
        <f t="shared" si="18"/>
        <v>843147.02498519304</v>
      </c>
      <c r="I95" s="328">
        <f t="shared" si="22"/>
        <v>9696190.7873297203</v>
      </c>
      <c r="J95" s="328">
        <f t="shared" si="19"/>
        <v>290885.72361989162</v>
      </c>
      <c r="K95" s="327">
        <f t="shared" si="24"/>
        <v>422636446.46159995</v>
      </c>
      <c r="L95" s="332">
        <f t="shared" si="23"/>
        <v>865391.2521631961</v>
      </c>
      <c r="M95" s="332">
        <f t="shared" si="25"/>
        <v>8203485.3552634725</v>
      </c>
      <c r="N95" s="332">
        <f t="shared" si="20"/>
        <v>414432961.10633647</v>
      </c>
      <c r="O95" s="351">
        <v>2961288.2600000002</v>
      </c>
      <c r="P95" s="327">
        <f t="shared" si="21"/>
        <v>3010445.645116</v>
      </c>
      <c r="Q95" s="352"/>
      <c r="R95" s="330"/>
      <c r="S95" s="352"/>
      <c r="T95" s="352"/>
      <c r="U95" s="330"/>
      <c r="V95" s="331"/>
      <c r="W95" s="352"/>
      <c r="X95" s="330"/>
      <c r="Y95" s="331"/>
    </row>
    <row r="96" spans="1:25" x14ac:dyDescent="0.2">
      <c r="A96" s="321">
        <f t="shared" si="9"/>
        <v>70</v>
      </c>
      <c r="C96" s="130" t="str">
        <f t="shared" si="16"/>
        <v>September</v>
      </c>
      <c r="D96" s="325">
        <v>2015</v>
      </c>
      <c r="E96" s="358">
        <v>9804035.1742463708</v>
      </c>
      <c r="F96" s="358">
        <v>0</v>
      </c>
      <c r="G96" s="328">
        <f t="shared" si="17"/>
        <v>735302.63806847774</v>
      </c>
      <c r="H96" s="327">
        <f t="shared" si="18"/>
        <v>843147.02498518792</v>
      </c>
      <c r="I96" s="328">
        <f t="shared" si="22"/>
        <v>9696190.7873296607</v>
      </c>
      <c r="J96" s="328">
        <f t="shared" si="19"/>
        <v>290885.72361988982</v>
      </c>
      <c r="K96" s="327">
        <f t="shared" si="24"/>
        <v>432623522.9725495</v>
      </c>
      <c r="L96" s="332">
        <f t="shared" si="23"/>
        <v>886335.73742508783</v>
      </c>
      <c r="M96" s="332">
        <f t="shared" si="25"/>
        <v>9089821.0926885605</v>
      </c>
      <c r="N96" s="332">
        <f t="shared" si="20"/>
        <v>423533701.87986094</v>
      </c>
      <c r="O96" s="351">
        <v>2961288.2600000002</v>
      </c>
      <c r="P96" s="327">
        <f t="shared" si="21"/>
        <v>3010445.645116</v>
      </c>
      <c r="Q96" s="352"/>
      <c r="R96" s="330"/>
      <c r="S96" s="352"/>
      <c r="T96" s="352"/>
      <c r="U96" s="330"/>
      <c r="V96" s="331"/>
      <c r="W96" s="352"/>
      <c r="X96" s="330"/>
      <c r="Y96" s="331"/>
    </row>
    <row r="97" spans="1:25" x14ac:dyDescent="0.2">
      <c r="A97" s="322">
        <f t="shared" si="9"/>
        <v>71</v>
      </c>
      <c r="C97" s="130" t="str">
        <f t="shared" si="16"/>
        <v>October</v>
      </c>
      <c r="D97" s="325">
        <v>2015</v>
      </c>
      <c r="E97" s="358">
        <v>33238915.444246471</v>
      </c>
      <c r="F97" s="358">
        <v>2054880.269999997</v>
      </c>
      <c r="G97" s="328">
        <f t="shared" si="17"/>
        <v>2338802.6380684855</v>
      </c>
      <c r="H97" s="327">
        <f t="shared" si="18"/>
        <v>2681827.024985197</v>
      </c>
      <c r="I97" s="328">
        <f t="shared" si="22"/>
        <v>30841010.787329763</v>
      </c>
      <c r="J97" s="328">
        <f t="shared" si="19"/>
        <v>925230.32361989282</v>
      </c>
      <c r="K97" s="327">
        <f t="shared" si="24"/>
        <v>466444644.35349917</v>
      </c>
      <c r="L97" s="332">
        <f t="shared" si="23"/>
        <v>907280.22268697945</v>
      </c>
      <c r="M97" s="332">
        <f t="shared" si="25"/>
        <v>9997101.3153755404</v>
      </c>
      <c r="N97" s="332">
        <f t="shared" si="20"/>
        <v>456447543.03812361</v>
      </c>
      <c r="O97" s="351">
        <v>2961288.2600000002</v>
      </c>
      <c r="P97" s="327">
        <f t="shared" si="21"/>
        <v>3010445.645116</v>
      </c>
      <c r="Q97" s="352"/>
      <c r="R97" s="330"/>
      <c r="S97" s="352"/>
      <c r="T97" s="352"/>
      <c r="U97" s="330"/>
      <c r="V97" s="331"/>
      <c r="W97" s="352"/>
      <c r="X97" s="330"/>
      <c r="Y97" s="331"/>
    </row>
    <row r="98" spans="1:25" x14ac:dyDescent="0.2">
      <c r="A98" s="322">
        <f t="shared" si="9"/>
        <v>72</v>
      </c>
      <c r="C98" s="130" t="str">
        <f t="shared" si="16"/>
        <v>November</v>
      </c>
      <c r="D98" s="325">
        <v>2015</v>
      </c>
      <c r="E98" s="358">
        <v>9804035.1742463708</v>
      </c>
      <c r="F98" s="358">
        <v>0</v>
      </c>
      <c r="G98" s="328">
        <f t="shared" si="17"/>
        <v>735302.63806847774</v>
      </c>
      <c r="H98" s="327">
        <f t="shared" si="18"/>
        <v>843147.02498518792</v>
      </c>
      <c r="I98" s="328">
        <f t="shared" si="22"/>
        <v>9696190.7873296607</v>
      </c>
      <c r="J98" s="328">
        <f t="shared" si="19"/>
        <v>290885.72361988982</v>
      </c>
      <c r="K98" s="327">
        <f t="shared" si="24"/>
        <v>476431720.86444873</v>
      </c>
      <c r="L98" s="332">
        <f t="shared" si="23"/>
        <v>978208.48457896721</v>
      </c>
      <c r="M98" s="332">
        <f t="shared" si="25"/>
        <v>10975309.799954507</v>
      </c>
      <c r="N98" s="332">
        <f t="shared" si="20"/>
        <v>465456411.06449419</v>
      </c>
      <c r="O98" s="351">
        <v>2961288.2600000002</v>
      </c>
      <c r="P98" s="327">
        <f t="shared" si="21"/>
        <v>3010445.645116</v>
      </c>
      <c r="Q98" s="352"/>
      <c r="R98" s="330"/>
      <c r="S98" s="352"/>
      <c r="T98" s="352"/>
      <c r="U98" s="330"/>
      <c r="V98" s="331"/>
      <c r="W98" s="352"/>
      <c r="X98" s="330"/>
      <c r="Y98" s="331"/>
    </row>
    <row r="99" spans="1:25" x14ac:dyDescent="0.2">
      <c r="A99" s="322">
        <f t="shared" si="9"/>
        <v>73</v>
      </c>
      <c r="C99" s="130" t="str">
        <f t="shared" si="16"/>
        <v>December</v>
      </c>
      <c r="D99" s="325">
        <v>2015</v>
      </c>
      <c r="E99" s="358">
        <v>150395661.44884634</v>
      </c>
      <c r="F99" s="358">
        <v>22605165.874599993</v>
      </c>
      <c r="G99" s="328">
        <f t="shared" si="17"/>
        <v>9584287.168068476</v>
      </c>
      <c r="H99" s="327">
        <f t="shared" si="18"/>
        <v>10989982.619385185</v>
      </c>
      <c r="I99" s="328">
        <f t="shared" si="22"/>
        <v>126384800.12292963</v>
      </c>
      <c r="J99" s="328">
        <f t="shared" si="19"/>
        <v>3791544.0036878888</v>
      </c>
      <c r="K99" s="327">
        <f t="shared" si="24"/>
        <v>629213230.86566615</v>
      </c>
      <c r="L99" s="332">
        <f t="shared" si="23"/>
        <v>999152.96984085895</v>
      </c>
      <c r="M99" s="332">
        <f t="shared" si="25"/>
        <v>11974462.769795366</v>
      </c>
      <c r="N99" s="332">
        <f t="shared" si="20"/>
        <v>617238768.09587073</v>
      </c>
      <c r="O99" s="351">
        <v>2961288.2600000002</v>
      </c>
      <c r="P99" s="327">
        <f t="shared" si="21"/>
        <v>3010445.645116</v>
      </c>
      <c r="Q99" s="352"/>
      <c r="R99" s="330"/>
      <c r="S99" s="352"/>
      <c r="T99" s="352"/>
      <c r="U99" s="330"/>
      <c r="V99" s="331"/>
      <c r="W99" s="352"/>
      <c r="X99" s="330"/>
      <c r="Y99" s="331"/>
    </row>
    <row r="100" spans="1:25" x14ac:dyDescent="0.2">
      <c r="A100" s="321"/>
      <c r="O100" s="330"/>
    </row>
    <row r="101" spans="1:25" x14ac:dyDescent="0.2">
      <c r="A101" s="321"/>
      <c r="B101" s="145" t="s">
        <v>449</v>
      </c>
      <c r="G101" s="146"/>
    </row>
    <row r="102" spans="1:25" x14ac:dyDescent="0.2">
      <c r="A102" s="323" t="s">
        <v>170</v>
      </c>
      <c r="B102" s="146"/>
      <c r="F102" s="359"/>
    </row>
    <row r="103" spans="1:25" x14ac:dyDescent="0.2">
      <c r="A103" s="321">
        <f>A99+1</f>
        <v>74</v>
      </c>
      <c r="C103" s="360" t="s">
        <v>450</v>
      </c>
      <c r="E103" s="347">
        <v>7.4999999999999997E-2</v>
      </c>
    </row>
    <row r="105" spans="1:25" x14ac:dyDescent="0.2">
      <c r="A105" s="321"/>
      <c r="B105" s="145" t="s">
        <v>451</v>
      </c>
    </row>
    <row r="106" spans="1:25" x14ac:dyDescent="0.2">
      <c r="A106" s="323" t="s">
        <v>170</v>
      </c>
      <c r="F106" s="359"/>
    </row>
    <row r="107" spans="1:25" x14ac:dyDescent="0.2">
      <c r="A107" s="321">
        <f>A103+1</f>
        <v>75</v>
      </c>
      <c r="B107" s="145"/>
      <c r="C107" s="361" t="s">
        <v>452</v>
      </c>
      <c r="E107" s="347">
        <v>0.08</v>
      </c>
    </row>
    <row r="108" spans="1:25" x14ac:dyDescent="0.2">
      <c r="A108" s="321"/>
      <c r="B108" s="146"/>
      <c r="C108" s="361"/>
    </row>
    <row r="109" spans="1:25" x14ac:dyDescent="0.2">
      <c r="B109" s="145" t="s">
        <v>453</v>
      </c>
    </row>
    <row r="110" spans="1:25" x14ac:dyDescent="0.2">
      <c r="A110" s="323" t="s">
        <v>170</v>
      </c>
      <c r="B110" s="146"/>
      <c r="F110" s="359"/>
    </row>
    <row r="111" spans="1:25" x14ac:dyDescent="0.2">
      <c r="A111" s="321">
        <f>A107+1</f>
        <v>76</v>
      </c>
      <c r="C111" s="361" t="s">
        <v>454</v>
      </c>
      <c r="E111" s="347">
        <v>0.03</v>
      </c>
    </row>
    <row r="113" spans="1:9" x14ac:dyDescent="0.2">
      <c r="B113" s="145" t="s">
        <v>455</v>
      </c>
    </row>
    <row r="114" spans="1:9" s="318" customFormat="1" x14ac:dyDescent="0.2">
      <c r="C114" s="362" t="s">
        <v>456</v>
      </c>
      <c r="F114" s="363"/>
    </row>
    <row r="115" spans="1:9" s="321" customFormat="1" x14ac:dyDescent="0.2">
      <c r="B115" s="318" t="s">
        <v>167</v>
      </c>
      <c r="C115" s="318" t="s">
        <v>168</v>
      </c>
      <c r="D115" s="318" t="s">
        <v>184</v>
      </c>
      <c r="E115" s="318" t="s">
        <v>185</v>
      </c>
      <c r="F115" s="318"/>
    </row>
    <row r="116" spans="1:9" s="318" customFormat="1" x14ac:dyDescent="0.2">
      <c r="C116" s="321" t="s">
        <v>9</v>
      </c>
      <c r="D116" s="324"/>
      <c r="E116" s="364" t="s">
        <v>457</v>
      </c>
      <c r="F116" s="324"/>
    </row>
    <row r="117" spans="1:9" x14ac:dyDescent="0.2">
      <c r="A117" s="321"/>
      <c r="B117" s="321"/>
      <c r="C117" s="321" t="str">
        <f>"Prior Year"</f>
        <v>Prior Year</v>
      </c>
      <c r="D117" s="322" t="s">
        <v>434</v>
      </c>
      <c r="E117" s="322" t="s">
        <v>458</v>
      </c>
      <c r="F117" s="322" t="s">
        <v>459</v>
      </c>
    </row>
    <row r="118" spans="1:9" x14ac:dyDescent="0.2">
      <c r="A118" s="318" t="s">
        <v>170</v>
      </c>
      <c r="B118" s="318" t="s">
        <v>460</v>
      </c>
      <c r="C118" s="318" t="s">
        <v>461</v>
      </c>
      <c r="D118" s="324" t="s">
        <v>0</v>
      </c>
      <c r="E118" s="324" t="s">
        <v>434</v>
      </c>
      <c r="F118" s="101" t="s">
        <v>462</v>
      </c>
    </row>
    <row r="119" spans="1:9" x14ac:dyDescent="0.2">
      <c r="A119" s="321">
        <f>A111+1</f>
        <v>77</v>
      </c>
      <c r="B119" s="321">
        <v>350.1</v>
      </c>
      <c r="C119" s="505">
        <v>75790815.887711585</v>
      </c>
      <c r="D119" s="366">
        <v>0</v>
      </c>
      <c r="E119" s="367">
        <f>C119*D119</f>
        <v>0</v>
      </c>
      <c r="F119" s="368" t="s">
        <v>463</v>
      </c>
      <c r="H119" s="365"/>
      <c r="I119" s="357"/>
    </row>
    <row r="120" spans="1:9" x14ac:dyDescent="0.2">
      <c r="A120" s="321">
        <f>A119+1</f>
        <v>78</v>
      </c>
      <c r="B120" s="321">
        <v>350.2</v>
      </c>
      <c r="C120" s="505">
        <v>137147763.30748817</v>
      </c>
      <c r="D120" s="366">
        <v>1.66E-2</v>
      </c>
      <c r="E120" s="506">
        <f t="shared" ref="E120:E128" si="26">C120*D120</f>
        <v>2276652.8709043036</v>
      </c>
      <c r="F120" s="368" t="s">
        <v>464</v>
      </c>
      <c r="H120" s="365"/>
      <c r="I120" s="357"/>
    </row>
    <row r="121" spans="1:9" x14ac:dyDescent="0.2">
      <c r="A121" s="321">
        <f t="shared" ref="A121:A133" si="27">A120+1</f>
        <v>79</v>
      </c>
      <c r="B121" s="321">
        <v>352</v>
      </c>
      <c r="C121" s="365">
        <v>376495330.511078</v>
      </c>
      <c r="D121" s="366">
        <v>2.5700000000000001E-2</v>
      </c>
      <c r="E121" s="367">
        <f t="shared" si="26"/>
        <v>9675929.9941347055</v>
      </c>
      <c r="F121" s="368" t="s">
        <v>465</v>
      </c>
      <c r="H121" s="365"/>
      <c r="I121" s="357"/>
    </row>
    <row r="122" spans="1:9" x14ac:dyDescent="0.2">
      <c r="A122" s="321">
        <f t="shared" si="27"/>
        <v>80</v>
      </c>
      <c r="B122" s="321">
        <v>353</v>
      </c>
      <c r="C122" s="365">
        <v>2708882934.2757502</v>
      </c>
      <c r="D122" s="366">
        <v>2.47E-2</v>
      </c>
      <c r="E122" s="367">
        <f t="shared" si="26"/>
        <v>66909408.476611026</v>
      </c>
      <c r="F122" s="368" t="s">
        <v>466</v>
      </c>
      <c r="H122" s="365"/>
      <c r="I122" s="357"/>
    </row>
    <row r="123" spans="1:9" x14ac:dyDescent="0.2">
      <c r="A123" s="321">
        <f t="shared" si="27"/>
        <v>81</v>
      </c>
      <c r="B123" s="321">
        <v>354</v>
      </c>
      <c r="C123" s="365">
        <v>1443480698.7225201</v>
      </c>
      <c r="D123" s="366">
        <v>2.4400000000000002E-2</v>
      </c>
      <c r="E123" s="367">
        <f t="shared" si="26"/>
        <v>35220929.048829496</v>
      </c>
      <c r="F123" s="368" t="s">
        <v>467</v>
      </c>
      <c r="H123" s="365"/>
      <c r="I123" s="357"/>
    </row>
    <row r="124" spans="1:9" x14ac:dyDescent="0.2">
      <c r="A124" s="321">
        <f t="shared" si="27"/>
        <v>82</v>
      </c>
      <c r="B124" s="321">
        <v>355</v>
      </c>
      <c r="C124" s="365">
        <v>143991959.274189</v>
      </c>
      <c r="D124" s="366">
        <v>3.6700000000000003E-2</v>
      </c>
      <c r="E124" s="367">
        <f t="shared" si="26"/>
        <v>5284504.9053627364</v>
      </c>
      <c r="F124" s="368" t="s">
        <v>468</v>
      </c>
      <c r="H124" s="365"/>
      <c r="I124" s="357"/>
    </row>
    <row r="125" spans="1:9" x14ac:dyDescent="0.2">
      <c r="A125" s="321">
        <f t="shared" si="27"/>
        <v>83</v>
      </c>
      <c r="B125" s="321">
        <v>356</v>
      </c>
      <c r="C125" s="365">
        <v>764993253.88369596</v>
      </c>
      <c r="D125" s="366">
        <v>3.0499999999999999E-2</v>
      </c>
      <c r="E125" s="367">
        <f t="shared" si="26"/>
        <v>23332294.243452728</v>
      </c>
      <c r="F125" s="368" t="s">
        <v>469</v>
      </c>
      <c r="H125" s="365"/>
      <c r="I125" s="357"/>
    </row>
    <row r="126" spans="1:9" x14ac:dyDescent="0.2">
      <c r="A126" s="321">
        <f t="shared" si="27"/>
        <v>84</v>
      </c>
      <c r="B126" s="321">
        <v>357</v>
      </c>
      <c r="C126" s="365">
        <v>207785.262638988</v>
      </c>
      <c r="D126" s="366">
        <v>1.6500000000000001E-2</v>
      </c>
      <c r="E126" s="367">
        <f t="shared" si="26"/>
        <v>3428.4568335433023</v>
      </c>
      <c r="F126" s="368" t="s">
        <v>470</v>
      </c>
      <c r="H126" s="365"/>
      <c r="I126" s="357"/>
    </row>
    <row r="127" spans="1:9" x14ac:dyDescent="0.2">
      <c r="A127" s="321">
        <f t="shared" si="27"/>
        <v>85</v>
      </c>
      <c r="B127" s="321">
        <v>358</v>
      </c>
      <c r="C127" s="365">
        <v>12339133.5415364</v>
      </c>
      <c r="D127" s="366">
        <v>3.8699999999999998E-2</v>
      </c>
      <c r="E127" s="367">
        <f t="shared" si="26"/>
        <v>477524.46805745864</v>
      </c>
      <c r="F127" s="368" t="s">
        <v>471</v>
      </c>
      <c r="H127" s="365"/>
      <c r="I127" s="357"/>
    </row>
    <row r="128" spans="1:9" x14ac:dyDescent="0.2">
      <c r="A128" s="321">
        <f t="shared" si="27"/>
        <v>86</v>
      </c>
      <c r="B128" s="321">
        <v>359</v>
      </c>
      <c r="C128" s="365">
        <v>68770632.706769794</v>
      </c>
      <c r="D128" s="366">
        <v>1.5599999999999999E-2</v>
      </c>
      <c r="E128" s="367">
        <f t="shared" si="26"/>
        <v>1072821.8702256088</v>
      </c>
      <c r="F128" s="368" t="s">
        <v>472</v>
      </c>
      <c r="H128" s="365"/>
      <c r="I128" s="357"/>
    </row>
    <row r="129" spans="1:9" x14ac:dyDescent="0.2">
      <c r="A129" s="321">
        <f t="shared" si="27"/>
        <v>87</v>
      </c>
    </row>
    <row r="130" spans="1:9" x14ac:dyDescent="0.2">
      <c r="A130" s="321">
        <f t="shared" si="27"/>
        <v>88</v>
      </c>
      <c r="C130" s="369" t="s">
        <v>473</v>
      </c>
      <c r="E130" s="506">
        <f>SUM(E119:E128)</f>
        <v>144253494.33441162</v>
      </c>
      <c r="F130" s="315" t="str">
        <f>"Sum of C"&amp;RIGHT(E115)&amp;" Lines "&amp;A119&amp;" to "&amp;A128</f>
        <v>Sum of C4 Lines 77 to 86</v>
      </c>
    </row>
    <row r="131" spans="1:9" x14ac:dyDescent="0.2">
      <c r="A131" s="321">
        <f t="shared" si="27"/>
        <v>89</v>
      </c>
      <c r="C131" s="315" t="str">
        <f>"Sum of Dec Prior Year Plant"</f>
        <v>Sum of Dec Prior Year Plant</v>
      </c>
      <c r="E131" s="371">
        <f>SUM(C119:C128)</f>
        <v>5732100307.3733778</v>
      </c>
      <c r="F131" s="315" t="str">
        <f>"Sum of C"&amp;RIGHT(C115)&amp;" Lines "&amp;A119&amp;" to "&amp;A128</f>
        <v>Sum of C2 Lines 77 to 86</v>
      </c>
    </row>
    <row r="132" spans="1:9" x14ac:dyDescent="0.2">
      <c r="A132" s="321">
        <f t="shared" si="27"/>
        <v>90</v>
      </c>
    </row>
    <row r="133" spans="1:9" x14ac:dyDescent="0.2">
      <c r="A133" s="321">
        <f t="shared" si="27"/>
        <v>91</v>
      </c>
      <c r="C133" s="315" t="s">
        <v>474</v>
      </c>
      <c r="E133" s="372">
        <f>E130/E131</f>
        <v>2.5165905444615805E-2</v>
      </c>
      <c r="F133" s="315" t="str">
        <f>"Line "&amp;A130&amp;" / Line "&amp;A131</f>
        <v>Line 88 / Line 89</v>
      </c>
    </row>
    <row r="134" spans="1:9" x14ac:dyDescent="0.2">
      <c r="A134" s="321"/>
    </row>
    <row r="135" spans="1:9" x14ac:dyDescent="0.2">
      <c r="A135" s="321"/>
      <c r="B135" s="74" t="s">
        <v>342</v>
      </c>
      <c r="C135"/>
      <c r="D135"/>
      <c r="E135"/>
      <c r="F135"/>
      <c r="G135"/>
      <c r="H135"/>
      <c r="I135"/>
    </row>
    <row r="136" spans="1:9" x14ac:dyDescent="0.2">
      <c r="A136" s="321"/>
      <c r="B136" s="118" t="s">
        <v>341</v>
      </c>
      <c r="C136" s="248"/>
      <c r="D136" s="248"/>
      <c r="E136" s="248"/>
      <c r="F136" s="248"/>
      <c r="G136" s="248"/>
      <c r="H136" s="248"/>
      <c r="I136" s="248"/>
    </row>
    <row r="137" spans="1:9" x14ac:dyDescent="0.2">
      <c r="A137" s="321"/>
      <c r="B137" s="118" t="s">
        <v>475</v>
      </c>
      <c r="C137"/>
      <c r="D137"/>
      <c r="E137"/>
      <c r="F137"/>
      <c r="G137"/>
      <c r="H137"/>
      <c r="I137"/>
    </row>
    <row r="138" spans="1:9" x14ac:dyDescent="0.2">
      <c r="A138" s="321"/>
    </row>
    <row r="139" spans="1:9" x14ac:dyDescent="0.2">
      <c r="A139" s="321"/>
    </row>
    <row r="140" spans="1:9" x14ac:dyDescent="0.2">
      <c r="A140" s="321"/>
    </row>
    <row r="141" spans="1:9" x14ac:dyDescent="0.2">
      <c r="A141" s="321"/>
    </row>
    <row r="142" spans="1:9" x14ac:dyDescent="0.2">
      <c r="A142" s="321"/>
    </row>
    <row r="143" spans="1:9" x14ac:dyDescent="0.2">
      <c r="A143" s="321"/>
    </row>
    <row r="144" spans="1:9" x14ac:dyDescent="0.2">
      <c r="A144" s="321"/>
    </row>
    <row r="145" spans="1:1" x14ac:dyDescent="0.2">
      <c r="A145" s="321"/>
    </row>
    <row r="146" spans="1:1" x14ac:dyDescent="0.2">
      <c r="A146" s="321"/>
    </row>
    <row r="147" spans="1:1" x14ac:dyDescent="0.2">
      <c r="A147" s="321"/>
    </row>
    <row r="148" spans="1:1" x14ac:dyDescent="0.2">
      <c r="A148" s="321"/>
    </row>
    <row r="149" spans="1:1" x14ac:dyDescent="0.2">
      <c r="A149" s="321"/>
    </row>
    <row r="150" spans="1:1" x14ac:dyDescent="0.2">
      <c r="A150" s="321"/>
    </row>
    <row r="151" spans="1:1" x14ac:dyDescent="0.2">
      <c r="A151" s="321"/>
    </row>
    <row r="152" spans="1:1" x14ac:dyDescent="0.2">
      <c r="A152" s="321"/>
    </row>
    <row r="153" spans="1:1" x14ac:dyDescent="0.2">
      <c r="A153" s="321"/>
    </row>
    <row r="154" spans="1:1" x14ac:dyDescent="0.2">
      <c r="A154" s="321"/>
    </row>
    <row r="155" spans="1:1" x14ac:dyDescent="0.2">
      <c r="A155" s="321"/>
    </row>
    <row r="156" spans="1:1" x14ac:dyDescent="0.2">
      <c r="A156" s="321"/>
    </row>
    <row r="157" spans="1:1" x14ac:dyDescent="0.2">
      <c r="A157" s="321"/>
    </row>
    <row r="158" spans="1:1" x14ac:dyDescent="0.2">
      <c r="A158" s="321"/>
    </row>
    <row r="159" spans="1:1" x14ac:dyDescent="0.2">
      <c r="A159" s="321"/>
    </row>
    <row r="160" spans="1:1" x14ac:dyDescent="0.2">
      <c r="A160" s="321"/>
    </row>
    <row r="161" spans="1:1" x14ac:dyDescent="0.2">
      <c r="A161" s="321"/>
    </row>
    <row r="162" spans="1:1" x14ac:dyDescent="0.2">
      <c r="A162" s="321"/>
    </row>
    <row r="163" spans="1:1" x14ac:dyDescent="0.2">
      <c r="A163" s="321"/>
    </row>
    <row r="164" spans="1:1" x14ac:dyDescent="0.2">
      <c r="A164" s="321"/>
    </row>
    <row r="165" spans="1:1" x14ac:dyDescent="0.2">
      <c r="A165" s="321"/>
    </row>
    <row r="166" spans="1:1" x14ac:dyDescent="0.2">
      <c r="A166" s="321"/>
    </row>
    <row r="167" spans="1:1" x14ac:dyDescent="0.2">
      <c r="A167" s="321"/>
    </row>
    <row r="168" spans="1:1" x14ac:dyDescent="0.2">
      <c r="A168" s="321"/>
    </row>
    <row r="169" spans="1:1" x14ac:dyDescent="0.2">
      <c r="A169" s="321"/>
    </row>
    <row r="170" spans="1:1" x14ac:dyDescent="0.2">
      <c r="A170" s="321"/>
    </row>
    <row r="171" spans="1:1" x14ac:dyDescent="0.2">
      <c r="A171" s="321"/>
    </row>
    <row r="172" spans="1:1" x14ac:dyDescent="0.2">
      <c r="A172" s="321"/>
    </row>
    <row r="173" spans="1:1" x14ac:dyDescent="0.2">
      <c r="A173" s="321"/>
    </row>
    <row r="174" spans="1:1" x14ac:dyDescent="0.2">
      <c r="A174" s="321"/>
    </row>
    <row r="175" spans="1:1" x14ac:dyDescent="0.2">
      <c r="A175" s="321"/>
    </row>
    <row r="176" spans="1:1" x14ac:dyDescent="0.2">
      <c r="A176" s="321"/>
    </row>
    <row r="177" spans="1:1" x14ac:dyDescent="0.2">
      <c r="A177" s="321"/>
    </row>
    <row r="178" spans="1:1" x14ac:dyDescent="0.2">
      <c r="A178" s="321"/>
    </row>
    <row r="179" spans="1:1" x14ac:dyDescent="0.2">
      <c r="A179" s="321"/>
    </row>
    <row r="180" spans="1:1" x14ac:dyDescent="0.2">
      <c r="A180" s="321"/>
    </row>
    <row r="181" spans="1:1" x14ac:dyDescent="0.2">
      <c r="A181" s="321"/>
    </row>
    <row r="182" spans="1:1" x14ac:dyDescent="0.2">
      <c r="A182" s="321"/>
    </row>
    <row r="183" spans="1:1" x14ac:dyDescent="0.2">
      <c r="A183" s="321"/>
    </row>
    <row r="184" spans="1:1" x14ac:dyDescent="0.2">
      <c r="A184" s="321"/>
    </row>
    <row r="185" spans="1:1" x14ac:dyDescent="0.2">
      <c r="A185" s="321"/>
    </row>
    <row r="186" spans="1:1" x14ac:dyDescent="0.2">
      <c r="A186" s="321"/>
    </row>
    <row r="187" spans="1:1" x14ac:dyDescent="0.2">
      <c r="A187" s="321"/>
    </row>
    <row r="188" spans="1:1" x14ac:dyDescent="0.2">
      <c r="A188" s="321"/>
    </row>
    <row r="189" spans="1:1" x14ac:dyDescent="0.2">
      <c r="A189" s="321"/>
    </row>
    <row r="190" spans="1:1" x14ac:dyDescent="0.2">
      <c r="A190" s="321"/>
    </row>
    <row r="191" spans="1:1" x14ac:dyDescent="0.2">
      <c r="A191" s="321"/>
    </row>
    <row r="192" spans="1:1" x14ac:dyDescent="0.2">
      <c r="A192" s="321"/>
    </row>
    <row r="193" spans="1:1" x14ac:dyDescent="0.2">
      <c r="A193" s="321"/>
    </row>
    <row r="194" spans="1:1" x14ac:dyDescent="0.2">
      <c r="A194" s="321"/>
    </row>
    <row r="195" spans="1:1" x14ac:dyDescent="0.2">
      <c r="A195" s="321"/>
    </row>
    <row r="196" spans="1:1" x14ac:dyDescent="0.2">
      <c r="A196" s="321"/>
    </row>
    <row r="197" spans="1:1" x14ac:dyDescent="0.2">
      <c r="A197" s="321"/>
    </row>
    <row r="198" spans="1:1" x14ac:dyDescent="0.2">
      <c r="A198" s="321"/>
    </row>
    <row r="199" spans="1:1" x14ac:dyDescent="0.2">
      <c r="A199" s="321"/>
    </row>
    <row r="200" spans="1:1" x14ac:dyDescent="0.2">
      <c r="A200" s="321"/>
    </row>
    <row r="201" spans="1:1" x14ac:dyDescent="0.2">
      <c r="A201" s="321"/>
    </row>
    <row r="202" spans="1:1" x14ac:dyDescent="0.2">
      <c r="A202" s="321"/>
    </row>
    <row r="203" spans="1:1" x14ac:dyDescent="0.2">
      <c r="A203" s="321"/>
    </row>
    <row r="204" spans="1:1" x14ac:dyDescent="0.2">
      <c r="A204" s="321"/>
    </row>
  </sheetData>
  <pageMargins left="0.7" right="0.7" top="0.75" bottom="0.75" header="0.3" footer="0.3"/>
  <pageSetup scale="55" orientation="landscape" cellComments="asDisplayed" r:id="rId1"/>
  <headerFooter>
    <oddHeader>&amp;CSchedule 16
Plant Additions
(Revised 2013 True Up TRR)&amp;RTO10 Draft Annual Update
Attachment 4
WP-Schedule 3-One Time Adj &amp; True Up Adj
Page &amp;P of &amp;N</oddHeader>
    <oddFooter>&amp;R16-PlantAdditions</oddFooter>
  </headerFooter>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5"/>
  <sheetViews>
    <sheetView zoomScaleNormal="100" workbookViewId="0">
      <selection activeCell="A3" sqref="A3"/>
    </sheetView>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9.42578125" style="1" bestFit="1" customWidth="1"/>
    <col min="11" max="11" width="14.28515625" style="1" bestFit="1" customWidth="1"/>
    <col min="12" max="12" width="15.5703125" style="1" bestFit="1" customWidth="1"/>
    <col min="13" max="13" width="16" style="1" customWidth="1"/>
    <col min="14" max="14" width="12" style="1" customWidth="1"/>
    <col min="15" max="15" width="15.85546875" style="1" customWidth="1"/>
    <col min="16" max="16384" width="9.140625" style="1"/>
  </cols>
  <sheetData>
    <row r="2" spans="1:11" ht="15.75" thickBot="1" x14ac:dyDescent="0.3"/>
    <row r="3" spans="1:11" x14ac:dyDescent="0.25">
      <c r="A3" s="48" t="s">
        <v>36</v>
      </c>
      <c r="B3" s="49"/>
      <c r="C3" s="49"/>
      <c r="D3" s="49"/>
      <c r="E3" s="49"/>
      <c r="F3" s="49"/>
      <c r="G3" s="49"/>
      <c r="H3" s="49"/>
      <c r="I3" s="49"/>
      <c r="J3" s="49"/>
      <c r="K3" s="50"/>
    </row>
    <row r="4" spans="1:11" ht="15.75" thickBot="1" x14ac:dyDescent="0.3">
      <c r="A4" s="11"/>
      <c r="B4" s="12"/>
      <c r="C4" s="12"/>
      <c r="D4" s="12"/>
      <c r="E4" s="12"/>
      <c r="F4" s="12"/>
      <c r="G4" s="46"/>
      <c r="H4" s="46"/>
      <c r="I4" s="46"/>
      <c r="J4" s="12"/>
      <c r="K4" s="13"/>
    </row>
    <row r="5" spans="1:11" ht="32.25" customHeight="1" thickBot="1" x14ac:dyDescent="0.3">
      <c r="A5" s="527" t="s">
        <v>29</v>
      </c>
      <c r="B5" s="528"/>
      <c r="C5" s="528"/>
      <c r="D5" s="528"/>
      <c r="E5" s="528"/>
      <c r="F5" s="528"/>
      <c r="G5" s="529"/>
      <c r="H5" s="527" t="s">
        <v>39</v>
      </c>
      <c r="I5" s="528"/>
      <c r="J5" s="528"/>
      <c r="K5" s="529"/>
    </row>
    <row r="6" spans="1:11" ht="15" customHeight="1" x14ac:dyDescent="0.25">
      <c r="A6" s="51"/>
      <c r="B6" s="14"/>
      <c r="C6" s="14"/>
      <c r="D6" s="14"/>
      <c r="E6" s="15" t="s">
        <v>22</v>
      </c>
      <c r="F6" s="16"/>
      <c r="G6" s="17"/>
      <c r="H6" s="14"/>
      <c r="I6" s="15" t="s">
        <v>22</v>
      </c>
      <c r="J6" s="16"/>
      <c r="K6" s="17"/>
    </row>
    <row r="7" spans="1:11" ht="15" customHeight="1" x14ac:dyDescent="0.25">
      <c r="A7" s="52"/>
      <c r="B7" s="14"/>
      <c r="C7" s="14"/>
      <c r="D7" s="14"/>
      <c r="E7" s="15" t="s">
        <v>4</v>
      </c>
      <c r="F7" s="19"/>
      <c r="G7" s="20" t="s">
        <v>22</v>
      </c>
      <c r="H7" s="14"/>
      <c r="I7" s="15" t="s">
        <v>4</v>
      </c>
      <c r="J7" s="19"/>
      <c r="K7" s="20" t="s">
        <v>22</v>
      </c>
    </row>
    <row r="8" spans="1:11" ht="15" customHeight="1" x14ac:dyDescent="0.25">
      <c r="A8" s="52"/>
      <c r="B8" s="14"/>
      <c r="C8" s="14"/>
      <c r="D8" s="14"/>
      <c r="E8" s="15" t="s">
        <v>5</v>
      </c>
      <c r="F8" s="19"/>
      <c r="G8" s="20" t="s">
        <v>4</v>
      </c>
      <c r="H8" s="14"/>
      <c r="I8" s="15" t="s">
        <v>5</v>
      </c>
      <c r="J8" s="19"/>
      <c r="K8" s="20" t="s">
        <v>4</v>
      </c>
    </row>
    <row r="9" spans="1:11" ht="15" customHeight="1" x14ac:dyDescent="0.25">
      <c r="A9" s="52"/>
      <c r="B9" s="14"/>
      <c r="C9" s="18" t="s">
        <v>1</v>
      </c>
      <c r="D9" s="15" t="s">
        <v>1</v>
      </c>
      <c r="E9" s="15" t="s">
        <v>2</v>
      </c>
      <c r="F9" s="22" t="s">
        <v>3</v>
      </c>
      <c r="G9" s="20" t="s">
        <v>5</v>
      </c>
      <c r="H9" s="15" t="s">
        <v>1</v>
      </c>
      <c r="I9" s="15" t="s">
        <v>2</v>
      </c>
      <c r="J9" s="22" t="s">
        <v>3</v>
      </c>
      <c r="K9" s="20" t="s">
        <v>5</v>
      </c>
    </row>
    <row r="10" spans="1:11" ht="15" customHeight="1" x14ac:dyDescent="0.25">
      <c r="A10" s="52"/>
      <c r="B10" s="14"/>
      <c r="C10" s="21" t="s">
        <v>3</v>
      </c>
      <c r="D10" s="15" t="s">
        <v>23</v>
      </c>
      <c r="E10" s="15" t="s">
        <v>25</v>
      </c>
      <c r="F10" s="15" t="s">
        <v>26</v>
      </c>
      <c r="G10" s="20" t="s">
        <v>2</v>
      </c>
      <c r="H10" s="15" t="s">
        <v>23</v>
      </c>
      <c r="I10" s="15" t="s">
        <v>25</v>
      </c>
      <c r="J10" s="15" t="s">
        <v>26</v>
      </c>
      <c r="K10" s="20" t="s">
        <v>2</v>
      </c>
    </row>
    <row r="11" spans="1:11" ht="15.75" customHeight="1" x14ac:dyDescent="0.25">
      <c r="A11" s="43" t="s">
        <v>19</v>
      </c>
      <c r="B11" s="42" t="s">
        <v>20</v>
      </c>
      <c r="C11" s="42" t="s">
        <v>0</v>
      </c>
      <c r="D11" s="41" t="s">
        <v>30</v>
      </c>
      <c r="E11" s="41" t="s">
        <v>27</v>
      </c>
      <c r="F11" s="41" t="s">
        <v>19</v>
      </c>
      <c r="G11" s="44" t="s">
        <v>24</v>
      </c>
      <c r="H11" s="41" t="s">
        <v>30</v>
      </c>
      <c r="I11" s="41" t="s">
        <v>27</v>
      </c>
      <c r="J11" s="41" t="s">
        <v>19</v>
      </c>
      <c r="K11" s="44" t="s">
        <v>24</v>
      </c>
    </row>
    <row r="12" spans="1:11" x14ac:dyDescent="0.25">
      <c r="A12" s="23" t="s">
        <v>10</v>
      </c>
      <c r="B12" s="45" t="s">
        <v>31</v>
      </c>
      <c r="C12" s="25">
        <v>2.7000000000000001E-3</v>
      </c>
      <c r="D12" s="26">
        <f>'WP-2012 True Up TRR Adj'!$D$8/12</f>
        <v>6537.2902271052199</v>
      </c>
      <c r="E12" s="27">
        <f>D12</f>
        <v>6537.2902271052199</v>
      </c>
      <c r="F12" s="27">
        <f>((E12)/2)*C12</f>
        <v>8.8253418065920481</v>
      </c>
      <c r="G12" s="29">
        <f>E12+F12</f>
        <v>6546.1155689118123</v>
      </c>
      <c r="H12" s="26">
        <v>0</v>
      </c>
      <c r="I12" s="27">
        <f>H12</f>
        <v>0</v>
      </c>
      <c r="J12" s="27">
        <f>((H12)/2)*C12</f>
        <v>0</v>
      </c>
      <c r="K12" s="29">
        <f>I12+J12</f>
        <v>0</v>
      </c>
    </row>
    <row r="13" spans="1:11" x14ac:dyDescent="0.25">
      <c r="A13" s="23" t="s">
        <v>11</v>
      </c>
      <c r="B13" s="24" t="s">
        <v>31</v>
      </c>
      <c r="C13" s="25">
        <v>2.7000000000000001E-3</v>
      </c>
      <c r="D13" s="26">
        <f>'WP-2012 True Up TRR Adj'!$D$8/12</f>
        <v>6537.2902271052199</v>
      </c>
      <c r="E13" s="27">
        <f>D13+G12</f>
        <v>13083.405796017032</v>
      </c>
      <c r="F13" s="28">
        <f>(((E13+G12))/2)*C13</f>
        <v>26.499853842653941</v>
      </c>
      <c r="G13" s="29">
        <f t="shared" ref="G13:G34" si="0">E13+F13</f>
        <v>13109.905649859686</v>
      </c>
      <c r="H13" s="26">
        <v>0</v>
      </c>
      <c r="I13" s="27">
        <f>H13+K12</f>
        <v>0</v>
      </c>
      <c r="J13" s="28">
        <f>(((I13+K12))/2)*C13</f>
        <v>0</v>
      </c>
      <c r="K13" s="29">
        <f t="shared" ref="K13:K35" si="1">I13+J13</f>
        <v>0</v>
      </c>
    </row>
    <row r="14" spans="1:11" x14ac:dyDescent="0.25">
      <c r="A14" s="23" t="s">
        <v>21</v>
      </c>
      <c r="B14" s="24" t="s">
        <v>31</v>
      </c>
      <c r="C14" s="25">
        <v>2.7000000000000001E-3</v>
      </c>
      <c r="D14" s="26">
        <f>'WP-2012 True Up TRR Adj'!$D$8/12</f>
        <v>6537.2902271052199</v>
      </c>
      <c r="E14" s="27">
        <f t="shared" ref="E14:E34" si="2">D14+G13</f>
        <v>19647.195876964906</v>
      </c>
      <c r="F14" s="28">
        <f>(((E14+G13))/2)*C14</f>
        <v>44.222087061213202</v>
      </c>
      <c r="G14" s="29">
        <f t="shared" si="0"/>
        <v>19691.417964026121</v>
      </c>
      <c r="H14" s="26">
        <v>0</v>
      </c>
      <c r="I14" s="27">
        <f t="shared" ref="I14:I35" si="3">H14+K13</f>
        <v>0</v>
      </c>
      <c r="J14" s="28">
        <f t="shared" ref="J14:J23" si="4">(((I14+K13))/2)*C14</f>
        <v>0</v>
      </c>
      <c r="K14" s="29">
        <f t="shared" si="1"/>
        <v>0</v>
      </c>
    </row>
    <row r="15" spans="1:11" x14ac:dyDescent="0.25">
      <c r="A15" s="23" t="s">
        <v>12</v>
      </c>
      <c r="B15" s="24" t="s">
        <v>31</v>
      </c>
      <c r="C15" s="25">
        <v>2.7000000000000001E-3</v>
      </c>
      <c r="D15" s="26">
        <f>'WP-2012 True Up TRR Adj'!$D$8/12</f>
        <v>6537.2902271052199</v>
      </c>
      <c r="E15" s="27">
        <f t="shared" si="2"/>
        <v>26228.70819113134</v>
      </c>
      <c r="F15" s="28">
        <f t="shared" ref="F15:F35" si="5">(((E15+G14))/2)*C15</f>
        <v>61.992170309462573</v>
      </c>
      <c r="G15" s="29">
        <f t="shared" si="0"/>
        <v>26290.700361440802</v>
      </c>
      <c r="H15" s="26">
        <v>0</v>
      </c>
      <c r="I15" s="27">
        <f t="shared" si="3"/>
        <v>0</v>
      </c>
      <c r="J15" s="28">
        <f t="shared" si="4"/>
        <v>0</v>
      </c>
      <c r="K15" s="29">
        <f t="shared" si="1"/>
        <v>0</v>
      </c>
    </row>
    <row r="16" spans="1:11" x14ac:dyDescent="0.25">
      <c r="A16" s="23" t="s">
        <v>13</v>
      </c>
      <c r="B16" s="24" t="s">
        <v>31</v>
      </c>
      <c r="C16" s="25">
        <v>2.7000000000000001E-3</v>
      </c>
      <c r="D16" s="26">
        <f>'WP-2012 True Up TRR Adj'!$D$8/12</f>
        <v>6537.2902271052199</v>
      </c>
      <c r="E16" s="27">
        <f t="shared" si="2"/>
        <v>32827.990588546025</v>
      </c>
      <c r="F16" s="28">
        <f t="shared" si="5"/>
        <v>79.810232782482217</v>
      </c>
      <c r="G16" s="29">
        <f t="shared" si="0"/>
        <v>32907.800821328507</v>
      </c>
      <c r="H16" s="26">
        <v>0</v>
      </c>
      <c r="I16" s="27">
        <f t="shared" si="3"/>
        <v>0</v>
      </c>
      <c r="J16" s="28">
        <f t="shared" si="4"/>
        <v>0</v>
      </c>
      <c r="K16" s="29">
        <f t="shared" si="1"/>
        <v>0</v>
      </c>
    </row>
    <row r="17" spans="1:11" x14ac:dyDescent="0.25">
      <c r="A17" s="23" t="s">
        <v>28</v>
      </c>
      <c r="B17" s="24" t="s">
        <v>31</v>
      </c>
      <c r="C17" s="25">
        <v>2.7000000000000001E-3</v>
      </c>
      <c r="D17" s="26">
        <f>'WP-2012 True Up TRR Adj'!$D$8/12</f>
        <v>6537.2902271052199</v>
      </c>
      <c r="E17" s="27">
        <f t="shared" si="2"/>
        <v>39445.091048433729</v>
      </c>
      <c r="F17" s="28">
        <f t="shared" si="5"/>
        <v>97.676404024179035</v>
      </c>
      <c r="G17" s="29">
        <f t="shared" si="0"/>
        <v>39542.767452457905</v>
      </c>
      <c r="H17" s="26">
        <v>0</v>
      </c>
      <c r="I17" s="27">
        <f t="shared" si="3"/>
        <v>0</v>
      </c>
      <c r="J17" s="28">
        <f t="shared" si="4"/>
        <v>0</v>
      </c>
      <c r="K17" s="29">
        <f t="shared" si="1"/>
        <v>0</v>
      </c>
    </row>
    <row r="18" spans="1:11" x14ac:dyDescent="0.25">
      <c r="A18" s="23" t="s">
        <v>14</v>
      </c>
      <c r="B18" s="24" t="s">
        <v>31</v>
      </c>
      <c r="C18" s="25">
        <v>2.7000000000000001E-3</v>
      </c>
      <c r="D18" s="26">
        <f>'WP-2012 True Up TRR Adj'!$D$8/12</f>
        <v>6537.2902271052199</v>
      </c>
      <c r="E18" s="27">
        <f t="shared" si="2"/>
        <v>46080.057679563128</v>
      </c>
      <c r="F18" s="28">
        <f t="shared" si="5"/>
        <v>115.59081392822841</v>
      </c>
      <c r="G18" s="29">
        <f t="shared" si="0"/>
        <v>46195.648493491353</v>
      </c>
      <c r="H18" s="26">
        <v>0</v>
      </c>
      <c r="I18" s="27">
        <f t="shared" si="3"/>
        <v>0</v>
      </c>
      <c r="J18" s="28">
        <f t="shared" si="4"/>
        <v>0</v>
      </c>
      <c r="K18" s="29">
        <f t="shared" si="1"/>
        <v>0</v>
      </c>
    </row>
    <row r="19" spans="1:11" x14ac:dyDescent="0.25">
      <c r="A19" s="23" t="s">
        <v>15</v>
      </c>
      <c r="B19" s="24" t="s">
        <v>31</v>
      </c>
      <c r="C19" s="25">
        <v>2.7000000000000001E-3</v>
      </c>
      <c r="D19" s="26">
        <f>'WP-2012 True Up TRR Adj'!$D$8/12</f>
        <v>6537.2902271052199</v>
      </c>
      <c r="E19" s="27">
        <f t="shared" si="2"/>
        <v>52732.938720596576</v>
      </c>
      <c r="F19" s="28">
        <f t="shared" si="5"/>
        <v>133.55359273901871</v>
      </c>
      <c r="G19" s="29">
        <f t="shared" si="0"/>
        <v>52866.492313335591</v>
      </c>
      <c r="H19" s="26">
        <v>0</v>
      </c>
      <c r="I19" s="27">
        <f t="shared" si="3"/>
        <v>0</v>
      </c>
      <c r="J19" s="28">
        <f t="shared" si="4"/>
        <v>0</v>
      </c>
      <c r="K19" s="29">
        <f t="shared" si="1"/>
        <v>0</v>
      </c>
    </row>
    <row r="20" spans="1:11" x14ac:dyDescent="0.25">
      <c r="A20" s="23" t="s">
        <v>16</v>
      </c>
      <c r="B20" s="24" t="s">
        <v>31</v>
      </c>
      <c r="C20" s="25">
        <v>2.7000000000000001E-3</v>
      </c>
      <c r="D20" s="26">
        <f>'WP-2012 True Up TRR Adj'!$D$8/12</f>
        <v>6537.2902271052199</v>
      </c>
      <c r="E20" s="27">
        <f t="shared" si="2"/>
        <v>59403.782540440814</v>
      </c>
      <c r="F20" s="28">
        <f t="shared" si="5"/>
        <v>151.56487105259816</v>
      </c>
      <c r="G20" s="29">
        <f t="shared" si="0"/>
        <v>59555.347411493414</v>
      </c>
      <c r="H20" s="26">
        <v>0</v>
      </c>
      <c r="I20" s="27">
        <f t="shared" si="3"/>
        <v>0</v>
      </c>
      <c r="J20" s="28">
        <f t="shared" si="4"/>
        <v>0</v>
      </c>
      <c r="K20" s="29">
        <f t="shared" si="1"/>
        <v>0</v>
      </c>
    </row>
    <row r="21" spans="1:11" x14ac:dyDescent="0.25">
      <c r="A21" s="23" t="s">
        <v>18</v>
      </c>
      <c r="B21" s="24" t="s">
        <v>31</v>
      </c>
      <c r="C21" s="25">
        <v>2.7000000000000001E-3</v>
      </c>
      <c r="D21" s="26">
        <f>'WP-2012 True Up TRR Adj'!$D$8/12</f>
        <v>6537.2902271052199</v>
      </c>
      <c r="E21" s="27">
        <f t="shared" si="2"/>
        <v>66092.637638598637</v>
      </c>
      <c r="F21" s="28">
        <f t="shared" si="5"/>
        <v>169.62477981762427</v>
      </c>
      <c r="G21" s="29">
        <f t="shared" si="0"/>
        <v>66262.262418416256</v>
      </c>
      <c r="H21" s="26">
        <v>0</v>
      </c>
      <c r="I21" s="27">
        <f t="shared" si="3"/>
        <v>0</v>
      </c>
      <c r="J21" s="28">
        <f t="shared" si="4"/>
        <v>0</v>
      </c>
      <c r="K21" s="29">
        <f t="shared" si="1"/>
        <v>0</v>
      </c>
    </row>
    <row r="22" spans="1:11" x14ac:dyDescent="0.25">
      <c r="A22" s="23" t="s">
        <v>17</v>
      </c>
      <c r="B22" s="24" t="s">
        <v>31</v>
      </c>
      <c r="C22" s="25">
        <v>2.7000000000000001E-3</v>
      </c>
      <c r="D22" s="26">
        <f>'WP-2012 True Up TRR Adj'!$D$8/12</f>
        <v>6537.2902271052199</v>
      </c>
      <c r="E22" s="27">
        <f t="shared" si="2"/>
        <v>72799.552645521471</v>
      </c>
      <c r="F22" s="28">
        <f t="shared" si="5"/>
        <v>187.73345033631597</v>
      </c>
      <c r="G22" s="29">
        <f t="shared" si="0"/>
        <v>72987.28609585778</v>
      </c>
      <c r="H22" s="26">
        <v>0</v>
      </c>
      <c r="I22" s="27">
        <f t="shared" si="3"/>
        <v>0</v>
      </c>
      <c r="J22" s="28">
        <f t="shared" si="4"/>
        <v>0</v>
      </c>
      <c r="K22" s="29">
        <f t="shared" si="1"/>
        <v>0</v>
      </c>
    </row>
    <row r="23" spans="1:11" x14ac:dyDescent="0.25">
      <c r="A23" s="23" t="s">
        <v>9</v>
      </c>
      <c r="B23" s="24" t="s">
        <v>31</v>
      </c>
      <c r="C23" s="25">
        <v>2.7000000000000001E-3</v>
      </c>
      <c r="D23" s="26">
        <f>'WP-2012 True Up TRR Adj'!$D$8/12</f>
        <v>6537.2902271052199</v>
      </c>
      <c r="E23" s="27">
        <f t="shared" si="2"/>
        <v>79524.576322962996</v>
      </c>
      <c r="F23" s="28">
        <f t="shared" si="5"/>
        <v>205.89101426540807</v>
      </c>
      <c r="G23" s="29">
        <f t="shared" si="0"/>
        <v>79730.467337228401</v>
      </c>
      <c r="H23" s="26">
        <v>0</v>
      </c>
      <c r="I23" s="27">
        <f t="shared" si="3"/>
        <v>0</v>
      </c>
      <c r="J23" s="28">
        <f t="shared" si="4"/>
        <v>0</v>
      </c>
      <c r="K23" s="29">
        <f t="shared" si="1"/>
        <v>0</v>
      </c>
    </row>
    <row r="24" spans="1:11" x14ac:dyDescent="0.25">
      <c r="A24" s="52" t="s">
        <v>10</v>
      </c>
      <c r="B24" s="54" t="s">
        <v>45</v>
      </c>
      <c r="C24" s="25">
        <v>2.7000000000000001E-3</v>
      </c>
      <c r="D24" s="26">
        <v>0</v>
      </c>
      <c r="E24" s="27">
        <f t="shared" si="2"/>
        <v>79730.467337228401</v>
      </c>
      <c r="F24" s="28">
        <f t="shared" si="5"/>
        <v>215.27226181051668</v>
      </c>
      <c r="G24" s="29">
        <f t="shared" si="0"/>
        <v>79945.73959903892</v>
      </c>
      <c r="H24" s="26">
        <f>'WP-2013 True Up TRR Adj'!$D$8/12</f>
        <v>1179.0368381043274</v>
      </c>
      <c r="I24" s="27">
        <f t="shared" si="3"/>
        <v>1179.0368381043274</v>
      </c>
      <c r="J24" s="28">
        <f t="shared" ref="J24:J35" si="6">(((I24+K23))/2)*C24</f>
        <v>1.5916997314408421</v>
      </c>
      <c r="K24" s="29">
        <f t="shared" si="1"/>
        <v>1180.6285378357684</v>
      </c>
    </row>
    <row r="25" spans="1:11" x14ac:dyDescent="0.25">
      <c r="A25" s="52" t="s">
        <v>11</v>
      </c>
      <c r="B25" s="54" t="s">
        <v>45</v>
      </c>
      <c r="C25" s="25">
        <v>2.7000000000000001E-3</v>
      </c>
      <c r="D25" s="26">
        <v>0</v>
      </c>
      <c r="E25" s="27">
        <f t="shared" si="2"/>
        <v>79945.73959903892</v>
      </c>
      <c r="F25" s="28">
        <f t="shared" si="5"/>
        <v>215.8534969174051</v>
      </c>
      <c r="G25" s="29">
        <f t="shared" si="0"/>
        <v>80161.593095956327</v>
      </c>
      <c r="H25" s="26">
        <f>'WP-2013 True Up TRR Adj'!$D$8/12</f>
        <v>1179.0368381043274</v>
      </c>
      <c r="I25" s="27">
        <f t="shared" si="3"/>
        <v>2359.6653759400961</v>
      </c>
      <c r="J25" s="28">
        <f t="shared" si="6"/>
        <v>4.7793967835974174</v>
      </c>
      <c r="K25" s="29">
        <f t="shared" si="1"/>
        <v>2364.4447727236934</v>
      </c>
    </row>
    <row r="26" spans="1:11" x14ac:dyDescent="0.25">
      <c r="A26" s="52" t="s">
        <v>21</v>
      </c>
      <c r="B26" s="54" t="s">
        <v>45</v>
      </c>
      <c r="C26" s="25">
        <v>2.7000000000000001E-3</v>
      </c>
      <c r="D26" s="26">
        <v>0</v>
      </c>
      <c r="E26" s="27">
        <f t="shared" si="2"/>
        <v>80161.593095956327</v>
      </c>
      <c r="F26" s="28">
        <f t="shared" si="5"/>
        <v>216.43630135908208</v>
      </c>
      <c r="G26" s="29">
        <f t="shared" si="0"/>
        <v>80378.029397315404</v>
      </c>
      <c r="H26" s="26">
        <f>'WP-2013 True Up TRR Adj'!$D$8/12</f>
        <v>1179.0368381043274</v>
      </c>
      <c r="I26" s="27">
        <f t="shared" si="3"/>
        <v>3543.4816108280211</v>
      </c>
      <c r="J26" s="28">
        <f t="shared" si="6"/>
        <v>7.9757006177948142</v>
      </c>
      <c r="K26" s="29">
        <f t="shared" si="1"/>
        <v>3551.4573114458158</v>
      </c>
    </row>
    <row r="27" spans="1:11" x14ac:dyDescent="0.25">
      <c r="A27" s="52" t="s">
        <v>12</v>
      </c>
      <c r="B27" s="54" t="s">
        <v>45</v>
      </c>
      <c r="C27" s="25">
        <v>2.7000000000000001E-3</v>
      </c>
      <c r="D27" s="26">
        <v>0</v>
      </c>
      <c r="E27" s="27">
        <f t="shared" si="2"/>
        <v>80378.029397315404</v>
      </c>
      <c r="F27" s="28">
        <f t="shared" si="5"/>
        <v>217.0206793727516</v>
      </c>
      <c r="G27" s="29">
        <f t="shared" si="0"/>
        <v>80595.05007668816</v>
      </c>
      <c r="H27" s="26">
        <f>'WP-2013 True Up TRR Adj'!$D$8/12</f>
        <v>1179.0368381043274</v>
      </c>
      <c r="I27" s="27">
        <f t="shared" si="3"/>
        <v>4730.4941495501434</v>
      </c>
      <c r="J27" s="28">
        <f t="shared" si="6"/>
        <v>11.180634472344545</v>
      </c>
      <c r="K27" s="29">
        <f t="shared" si="1"/>
        <v>4741.674784022488</v>
      </c>
    </row>
    <row r="28" spans="1:11" x14ac:dyDescent="0.25">
      <c r="A28" s="52" t="s">
        <v>13</v>
      </c>
      <c r="B28" s="54" t="s">
        <v>45</v>
      </c>
      <c r="C28" s="25">
        <v>2.7000000000000001E-3</v>
      </c>
      <c r="D28" s="26">
        <v>0</v>
      </c>
      <c r="E28" s="27">
        <f t="shared" si="2"/>
        <v>80595.05007668816</v>
      </c>
      <c r="F28" s="28">
        <f t="shared" si="5"/>
        <v>217.60663520705805</v>
      </c>
      <c r="G28" s="29">
        <f t="shared" si="0"/>
        <v>80812.656711895223</v>
      </c>
      <c r="H28" s="26">
        <f>'WP-2013 True Up TRR Adj'!$D$8/12</f>
        <v>1179.0368381043274</v>
      </c>
      <c r="I28" s="27">
        <f t="shared" si="3"/>
        <v>5920.7116221268152</v>
      </c>
      <c r="J28" s="28">
        <f t="shared" si="6"/>
        <v>14.394221648301562</v>
      </c>
      <c r="K28" s="29">
        <f t="shared" si="1"/>
        <v>5935.1058437751171</v>
      </c>
    </row>
    <row r="29" spans="1:11" x14ac:dyDescent="0.25">
      <c r="A29" s="52" t="s">
        <v>28</v>
      </c>
      <c r="B29" s="54" t="s">
        <v>45</v>
      </c>
      <c r="C29" s="25">
        <v>2.7000000000000001E-3</v>
      </c>
      <c r="D29" s="26">
        <v>0</v>
      </c>
      <c r="E29" s="27">
        <f t="shared" si="2"/>
        <v>80812.656711895223</v>
      </c>
      <c r="F29" s="28">
        <f t="shared" si="5"/>
        <v>218.19417312211712</v>
      </c>
      <c r="G29" s="29">
        <f t="shared" si="0"/>
        <v>81030.850885017338</v>
      </c>
      <c r="H29" s="26">
        <f>'WP-2013 True Up TRR Adj'!$D$8/12</f>
        <v>1179.0368381043274</v>
      </c>
      <c r="I29" s="27">
        <f t="shared" si="3"/>
        <v>7114.1426818794444</v>
      </c>
      <c r="J29" s="28">
        <f t="shared" si="6"/>
        <v>17.616485509633659</v>
      </c>
      <c r="K29" s="29">
        <f t="shared" si="1"/>
        <v>7131.7591673890784</v>
      </c>
    </row>
    <row r="30" spans="1:11" x14ac:dyDescent="0.25">
      <c r="A30" s="52" t="s">
        <v>14</v>
      </c>
      <c r="B30" s="54" t="s">
        <v>45</v>
      </c>
      <c r="C30" s="25">
        <v>2.7000000000000001E-3</v>
      </c>
      <c r="D30" s="26">
        <v>0</v>
      </c>
      <c r="E30" s="27">
        <f t="shared" si="2"/>
        <v>81030.850885017338</v>
      </c>
      <c r="F30" s="28">
        <f t="shared" si="5"/>
        <v>218.78329738954682</v>
      </c>
      <c r="G30" s="29">
        <f t="shared" si="0"/>
        <v>81249.63418240688</v>
      </c>
      <c r="H30" s="26">
        <f>'WP-2013 True Up TRR Adj'!$D$8/12</f>
        <v>1179.0368381043274</v>
      </c>
      <c r="I30" s="27">
        <f t="shared" si="3"/>
        <v>8310.7960054934065</v>
      </c>
      <c r="J30" s="28">
        <f t="shared" si="6"/>
        <v>20.847449483391355</v>
      </c>
      <c r="K30" s="29">
        <f t="shared" si="1"/>
        <v>8331.6434549767982</v>
      </c>
    </row>
    <row r="31" spans="1:11" x14ac:dyDescent="0.25">
      <c r="A31" s="52" t="s">
        <v>15</v>
      </c>
      <c r="B31" s="54" t="s">
        <v>45</v>
      </c>
      <c r="C31" s="25">
        <v>2.7000000000000001E-3</v>
      </c>
      <c r="D31" s="26">
        <v>0</v>
      </c>
      <c r="E31" s="27">
        <f t="shared" si="2"/>
        <v>81249.63418240688</v>
      </c>
      <c r="F31" s="28">
        <f t="shared" si="5"/>
        <v>219.37401229249858</v>
      </c>
      <c r="G31" s="29">
        <f t="shared" si="0"/>
        <v>81469.008194699374</v>
      </c>
      <c r="H31" s="26">
        <f>'WP-2013 True Up TRR Adj'!$D$8/12</f>
        <v>1179.0368381043274</v>
      </c>
      <c r="I31" s="27">
        <f t="shared" si="3"/>
        <v>9510.6802930811264</v>
      </c>
      <c r="J31" s="28">
        <f t="shared" si="6"/>
        <v>24.087137059878202</v>
      </c>
      <c r="K31" s="29">
        <f t="shared" si="1"/>
        <v>9534.7674301410043</v>
      </c>
    </row>
    <row r="32" spans="1:11" x14ac:dyDescent="0.25">
      <c r="A32" s="52" t="s">
        <v>16</v>
      </c>
      <c r="B32" s="54" t="s">
        <v>45</v>
      </c>
      <c r="C32" s="25">
        <v>2.7000000000000001E-3</v>
      </c>
      <c r="D32" s="26">
        <v>0</v>
      </c>
      <c r="E32" s="27">
        <f t="shared" si="2"/>
        <v>81469.008194699374</v>
      </c>
      <c r="F32" s="28">
        <f t="shared" si="5"/>
        <v>219.96632212568832</v>
      </c>
      <c r="G32" s="29">
        <f t="shared" si="0"/>
        <v>81688.974516825067</v>
      </c>
      <c r="H32" s="26">
        <f>'WP-2013 True Up TRR Adj'!$D$8/12</f>
        <v>1179.0368381043274</v>
      </c>
      <c r="I32" s="27">
        <f t="shared" si="3"/>
        <v>10713.804268245332</v>
      </c>
      <c r="J32" s="28">
        <f t="shared" si="6"/>
        <v>27.335571792821558</v>
      </c>
      <c r="K32" s="29">
        <f t="shared" si="1"/>
        <v>10741.139840038153</v>
      </c>
    </row>
    <row r="33" spans="1:11" x14ac:dyDescent="0.25">
      <c r="A33" s="52" t="s">
        <v>18</v>
      </c>
      <c r="B33" s="54" t="s">
        <v>45</v>
      </c>
      <c r="C33" s="25">
        <v>2.7000000000000001E-3</v>
      </c>
      <c r="D33" s="26">
        <v>0</v>
      </c>
      <c r="E33" s="27">
        <f t="shared" si="2"/>
        <v>81688.974516825067</v>
      </c>
      <c r="F33" s="28">
        <f t="shared" si="5"/>
        <v>220.56023119542769</v>
      </c>
      <c r="G33" s="29">
        <f t="shared" si="0"/>
        <v>81909.534748020495</v>
      </c>
      <c r="H33" s="26">
        <f>'WP-2013 True Up TRR Adj'!$D$8/12</f>
        <v>1179.0368381043274</v>
      </c>
      <c r="I33" s="27">
        <f t="shared" si="3"/>
        <v>11920.176678142481</v>
      </c>
      <c r="J33" s="28">
        <f t="shared" si="6"/>
        <v>30.592777299543854</v>
      </c>
      <c r="K33" s="29">
        <f t="shared" si="1"/>
        <v>11950.769455442025</v>
      </c>
    </row>
    <row r="34" spans="1:11" x14ac:dyDescent="0.25">
      <c r="A34" s="52" t="s">
        <v>17</v>
      </c>
      <c r="B34" s="54" t="s">
        <v>45</v>
      </c>
      <c r="C34" s="25">
        <v>2.7000000000000001E-3</v>
      </c>
      <c r="D34" s="26">
        <v>0</v>
      </c>
      <c r="E34" s="27">
        <f t="shared" si="2"/>
        <v>81909.534748020495</v>
      </c>
      <c r="F34" s="28">
        <f t="shared" si="5"/>
        <v>221.15574381965536</v>
      </c>
      <c r="G34" s="29">
        <f t="shared" si="0"/>
        <v>82130.690491840156</v>
      </c>
      <c r="H34" s="26">
        <f>'WP-2013 True Up TRR Adj'!$D$8/12</f>
        <v>1179.0368381043274</v>
      </c>
      <c r="I34" s="27">
        <f t="shared" si="3"/>
        <v>13129.806293546353</v>
      </c>
      <c r="J34" s="28">
        <f t="shared" si="6"/>
        <v>33.858777261134307</v>
      </c>
      <c r="K34" s="29">
        <f t="shared" si="1"/>
        <v>13163.665070807487</v>
      </c>
    </row>
    <row r="35" spans="1:11" x14ac:dyDescent="0.25">
      <c r="A35" s="52" t="s">
        <v>9</v>
      </c>
      <c r="B35" s="54" t="s">
        <v>45</v>
      </c>
      <c r="C35" s="25">
        <v>2.7000000000000001E-3</v>
      </c>
      <c r="D35" s="26">
        <v>0</v>
      </c>
      <c r="E35" s="27">
        <f>D35+G34</f>
        <v>82130.690491840156</v>
      </c>
      <c r="F35" s="28">
        <f t="shared" si="5"/>
        <v>221.75286432796844</v>
      </c>
      <c r="G35" s="29">
        <f>E35+F35</f>
        <v>82352.443356168122</v>
      </c>
      <c r="H35" s="26">
        <f>'WP-2013 True Up TRR Adj'!$D$8/12</f>
        <v>1179.0368381043274</v>
      </c>
      <c r="I35" s="27">
        <f t="shared" si="3"/>
        <v>14342.701908911815</v>
      </c>
      <c r="J35" s="28">
        <f t="shared" si="6"/>
        <v>37.133595422621056</v>
      </c>
      <c r="K35" s="29">
        <f t="shared" si="1"/>
        <v>14379.835504334436</v>
      </c>
    </row>
    <row r="36" spans="1:11" ht="15.75" thickBot="1" x14ac:dyDescent="0.3">
      <c r="A36" s="55"/>
      <c r="B36" s="14"/>
      <c r="C36" s="14"/>
      <c r="D36" s="32">
        <f>SUM(D12:D23)</f>
        <v>78447.482725262642</v>
      </c>
      <c r="E36" s="30"/>
      <c r="F36" s="31" t="s">
        <v>32</v>
      </c>
      <c r="G36" s="33">
        <f>G35</f>
        <v>82352.443356168122</v>
      </c>
      <c r="H36" s="32">
        <f>SUM(H24:H35)</f>
        <v>14148.442057251932</v>
      </c>
      <c r="I36" s="30"/>
      <c r="J36" s="31" t="s">
        <v>32</v>
      </c>
      <c r="K36" s="33">
        <f>K35</f>
        <v>14379.835504334436</v>
      </c>
    </row>
    <row r="37" spans="1:11" ht="33" customHeight="1" thickBot="1" x14ac:dyDescent="0.35">
      <c r="A37" s="525" t="s">
        <v>721</v>
      </c>
      <c r="B37" s="526"/>
      <c r="C37" s="526"/>
      <c r="D37" s="526"/>
      <c r="E37" s="526"/>
      <c r="F37" s="526"/>
      <c r="G37" s="526"/>
      <c r="H37" s="526"/>
      <c r="I37" s="526"/>
      <c r="J37" s="526"/>
      <c r="K37" s="47">
        <f>G36+K36</f>
        <v>96732.278860502556</v>
      </c>
    </row>
    <row r="39" spans="1:11" x14ac:dyDescent="0.25">
      <c r="E39" s="34"/>
    </row>
    <row r="41" spans="1:11" x14ac:dyDescent="0.25">
      <c r="A41" s="35"/>
    </row>
    <row r="42" spans="1:11" x14ac:dyDescent="0.25">
      <c r="E42" s="36"/>
    </row>
    <row r="47" spans="1:11" x14ac:dyDescent="0.25">
      <c r="A47" s="35"/>
    </row>
    <row r="51" spans="4:6" x14ac:dyDescent="0.25">
      <c r="D51" s="37"/>
      <c r="F51" s="38"/>
    </row>
    <row r="52" spans="4:6" x14ac:dyDescent="0.25">
      <c r="E52" s="39"/>
    </row>
    <row r="53" spans="4:6" x14ac:dyDescent="0.25">
      <c r="F53" s="40"/>
    </row>
    <row r="55" spans="4:6" x14ac:dyDescent="0.25">
      <c r="E55" s="39"/>
      <c r="F55" s="38"/>
    </row>
  </sheetData>
  <mergeCells count="3">
    <mergeCell ref="A37:J37"/>
    <mergeCell ref="H5:K5"/>
    <mergeCell ref="A5:G5"/>
  </mergeCells>
  <pageMargins left="0.7" right="0.7" top="0.75" bottom="0.75" header="0.3" footer="0.3"/>
  <pageSetup scale="60" orientation="landscape" verticalDpi="1200" r:id="rId1"/>
  <headerFooter>
    <oddHeader>&amp;RTO10 Draft Annual Update
Attachment 4
WP-Schedule 3-One Time Adj &amp; True Up Adj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heetViews>
  <sheetFormatPr defaultRowHeight="15" x14ac:dyDescent="0.25"/>
  <cols>
    <col min="1" max="2" width="9.140625" style="1"/>
    <col min="3" max="3" width="12.85546875" style="1" customWidth="1"/>
    <col min="4" max="4" width="14" style="1" bestFit="1" customWidth="1"/>
    <col min="5" max="6" width="9.140625" style="1"/>
    <col min="7" max="7" width="13.85546875" style="1" customWidth="1"/>
    <col min="8" max="16384" width="9.140625" style="1"/>
  </cols>
  <sheetData>
    <row r="2" spans="1:9" ht="21" customHeight="1" x14ac:dyDescent="0.25"/>
    <row r="3" spans="1:9" ht="15" customHeight="1" x14ac:dyDescent="0.25">
      <c r="A3" s="532" t="s">
        <v>38</v>
      </c>
      <c r="B3" s="532"/>
      <c r="C3" s="532"/>
      <c r="D3" s="532"/>
      <c r="E3" s="532"/>
      <c r="F3" s="532"/>
      <c r="G3" s="532"/>
    </row>
    <row r="4" spans="1:9" ht="15" customHeight="1" x14ac:dyDescent="0.25">
      <c r="A4" s="532"/>
      <c r="B4" s="532"/>
      <c r="C4" s="532"/>
      <c r="D4" s="532"/>
      <c r="E4" s="532"/>
      <c r="F4" s="532"/>
      <c r="G4" s="532"/>
    </row>
    <row r="5" spans="1:9" x14ac:dyDescent="0.25">
      <c r="A5" s="533" t="s">
        <v>6</v>
      </c>
      <c r="B5" s="533"/>
      <c r="C5" s="533"/>
      <c r="D5" s="2" t="s">
        <v>7</v>
      </c>
      <c r="E5" s="534" t="s">
        <v>8</v>
      </c>
      <c r="F5" s="534"/>
      <c r="G5" s="534"/>
      <c r="H5" s="3"/>
      <c r="I5" s="3"/>
    </row>
    <row r="6" spans="1:9" ht="42.75" customHeight="1" x14ac:dyDescent="0.25">
      <c r="A6" s="543" t="s">
        <v>40</v>
      </c>
      <c r="B6" s="544"/>
      <c r="C6" s="545"/>
      <c r="D6" s="8">
        <f>'WP-2012 Sch 4-TUTRR'!J70</f>
        <v>626424153.02268422</v>
      </c>
      <c r="E6" s="535" t="s">
        <v>37</v>
      </c>
      <c r="F6" s="535"/>
      <c r="G6" s="536"/>
    </row>
    <row r="7" spans="1:9" ht="50.25" customHeight="1" x14ac:dyDescent="0.25">
      <c r="A7" s="5" t="s">
        <v>33</v>
      </c>
      <c r="B7" s="5"/>
      <c r="C7" s="5"/>
      <c r="D7" s="9">
        <f>'WP-2012 Sch 4-TUTRR'!J69</f>
        <v>626502600.50540948</v>
      </c>
      <c r="E7" s="537" t="s">
        <v>784</v>
      </c>
      <c r="F7" s="538"/>
      <c r="G7" s="538"/>
    </row>
    <row r="8" spans="1:9" x14ac:dyDescent="0.25">
      <c r="A8" s="539" t="s">
        <v>34</v>
      </c>
      <c r="B8" s="539"/>
      <c r="C8" s="540"/>
      <c r="D8" s="10">
        <f>D7-D6</f>
        <v>78447.482725262642</v>
      </c>
      <c r="E8" s="541"/>
      <c r="F8" s="541"/>
      <c r="G8" s="542"/>
    </row>
    <row r="11" spans="1:9" x14ac:dyDescent="0.25">
      <c r="A11" s="1" t="s">
        <v>35</v>
      </c>
    </row>
    <row r="12" spans="1:9" x14ac:dyDescent="0.25">
      <c r="A12" s="530" t="s">
        <v>718</v>
      </c>
      <c r="B12" s="531"/>
      <c r="C12" s="531"/>
      <c r="D12" s="531"/>
      <c r="E12" s="531"/>
      <c r="F12" s="531"/>
      <c r="G12" s="531"/>
      <c r="H12" s="531"/>
      <c r="I12" s="531"/>
    </row>
    <row r="13" spans="1:9" ht="15.75" customHeight="1" x14ac:dyDescent="0.25">
      <c r="A13" s="530" t="s">
        <v>719</v>
      </c>
      <c r="B13" s="531"/>
      <c r="C13" s="531"/>
      <c r="D13" s="531"/>
      <c r="E13" s="531"/>
      <c r="F13" s="531"/>
      <c r="G13" s="531"/>
      <c r="H13" s="531"/>
      <c r="I13" s="531"/>
    </row>
    <row r="14" spans="1:9" x14ac:dyDescent="0.25">
      <c r="A14" s="531"/>
      <c r="B14" s="531"/>
      <c r="C14" s="531"/>
      <c r="D14" s="531"/>
      <c r="E14" s="531"/>
      <c r="F14" s="531"/>
      <c r="G14" s="531"/>
      <c r="H14" s="531"/>
      <c r="I14" s="531"/>
    </row>
  </sheetData>
  <mergeCells count="11">
    <mergeCell ref="A12:I12"/>
    <mergeCell ref="A13:I13"/>
    <mergeCell ref="A14:I14"/>
    <mergeCell ref="A3:G4"/>
    <mergeCell ref="A5:C5"/>
    <mergeCell ref="E5:G5"/>
    <mergeCell ref="E6:G6"/>
    <mergeCell ref="E7:G7"/>
    <mergeCell ref="A8:C8"/>
    <mergeCell ref="E8:G8"/>
    <mergeCell ref="A6:C6"/>
  </mergeCells>
  <pageMargins left="0.7" right="0.7" top="0.75" bottom="0.75" header="0.3" footer="0.3"/>
  <pageSetup orientation="portrait" verticalDpi="1200" r:id="rId1"/>
  <headerFooter>
    <oddHeader>&amp;RTO10 Draft Annual Update
Attachment 4
WP-Schedule 3-One Time Adj &amp; True Up Adj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L171"/>
  <sheetViews>
    <sheetView zoomScaleNormal="100" workbookViewId="0">
      <selection activeCell="J40" sqref="J40"/>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56" t="s">
        <v>46</v>
      </c>
    </row>
    <row r="2" spans="1:10" x14ac:dyDescent="0.2">
      <c r="H2" s="57"/>
    </row>
    <row r="3" spans="1:10" x14ac:dyDescent="0.2">
      <c r="B3" s="58" t="s">
        <v>47</v>
      </c>
    </row>
    <row r="4" spans="1:10" x14ac:dyDescent="0.2">
      <c r="B4" s="59"/>
      <c r="F4" s="60" t="s">
        <v>48</v>
      </c>
      <c r="G4" s="60"/>
      <c r="H4" s="60" t="s">
        <v>49</v>
      </c>
    </row>
    <row r="5" spans="1:10" x14ac:dyDescent="0.2">
      <c r="A5" s="61" t="s">
        <v>50</v>
      </c>
      <c r="B5" s="62"/>
      <c r="C5" s="63" t="s">
        <v>51</v>
      </c>
      <c r="F5" s="64" t="s">
        <v>52</v>
      </c>
      <c r="G5" s="64" t="s">
        <v>53</v>
      </c>
      <c r="H5" s="64" t="s">
        <v>54</v>
      </c>
      <c r="J5" s="64" t="s">
        <v>7</v>
      </c>
    </row>
    <row r="6" spans="1:10" x14ac:dyDescent="0.2">
      <c r="A6" s="65">
        <v>1</v>
      </c>
      <c r="B6" s="57"/>
      <c r="C6" s="66" t="s">
        <v>55</v>
      </c>
      <c r="D6" s="57"/>
      <c r="E6" s="57"/>
      <c r="F6" s="57" t="s">
        <v>56</v>
      </c>
      <c r="G6" s="57"/>
      <c r="H6" s="66" t="s">
        <v>729</v>
      </c>
      <c r="I6" s="57"/>
      <c r="J6" s="67">
        <v>3645278335.1812367</v>
      </c>
    </row>
    <row r="7" spans="1:10" x14ac:dyDescent="0.2">
      <c r="A7" s="65">
        <f>A6+1</f>
        <v>2</v>
      </c>
      <c r="B7" s="57"/>
      <c r="C7" s="66" t="s">
        <v>57</v>
      </c>
      <c r="D7" s="57"/>
      <c r="E7" s="57"/>
      <c r="F7" s="57" t="s">
        <v>58</v>
      </c>
      <c r="G7" s="57"/>
      <c r="H7" s="66" t="s">
        <v>730</v>
      </c>
      <c r="I7" s="57"/>
      <c r="J7" s="67">
        <v>144597591.87310612</v>
      </c>
    </row>
    <row r="8" spans="1:10" x14ac:dyDescent="0.2">
      <c r="A8" s="65">
        <f>A7+1</f>
        <v>3</v>
      </c>
      <c r="B8" s="57"/>
      <c r="C8" s="66" t="s">
        <v>59</v>
      </c>
      <c r="D8" s="57"/>
      <c r="E8" s="57"/>
      <c r="F8" s="57" t="s">
        <v>58</v>
      </c>
      <c r="G8" s="57"/>
      <c r="H8" s="57" t="s">
        <v>731</v>
      </c>
      <c r="I8" s="57"/>
      <c r="J8" s="67">
        <v>9942155</v>
      </c>
    </row>
    <row r="9" spans="1:10" x14ac:dyDescent="0.2">
      <c r="A9" s="65">
        <f>A8+1</f>
        <v>4</v>
      </c>
      <c r="B9" s="57"/>
      <c r="C9" s="66" t="s">
        <v>60</v>
      </c>
      <c r="D9" s="57"/>
      <c r="E9" s="57"/>
      <c r="F9" s="57" t="s">
        <v>58</v>
      </c>
      <c r="G9" s="57"/>
      <c r="H9" s="68" t="s">
        <v>732</v>
      </c>
      <c r="I9" s="57"/>
      <c r="J9" s="67">
        <v>5514000</v>
      </c>
    </row>
    <row r="10" spans="1:10" x14ac:dyDescent="0.2">
      <c r="A10" s="65"/>
      <c r="B10" s="57"/>
      <c r="C10" s="66"/>
      <c r="D10" s="57"/>
      <c r="E10" s="57"/>
      <c r="F10" s="57"/>
      <c r="G10" s="57"/>
      <c r="H10" s="57"/>
      <c r="I10" s="57"/>
      <c r="J10" s="67"/>
    </row>
    <row r="11" spans="1:10" x14ac:dyDescent="0.2">
      <c r="A11" s="65"/>
      <c r="B11" s="57"/>
      <c r="C11" s="69" t="s">
        <v>61</v>
      </c>
      <c r="D11" s="57"/>
      <c r="E11" s="57"/>
      <c r="F11" s="57"/>
      <c r="G11" s="57"/>
      <c r="H11" s="57"/>
      <c r="I11" s="57"/>
      <c r="J11" s="67"/>
    </row>
    <row r="12" spans="1:10" x14ac:dyDescent="0.2">
      <c r="A12" s="65">
        <f>A9+1</f>
        <v>5</v>
      </c>
      <c r="B12" s="57"/>
      <c r="C12" s="70" t="s">
        <v>62</v>
      </c>
      <c r="D12" s="57"/>
      <c r="E12" s="57"/>
      <c r="F12" s="57" t="s">
        <v>56</v>
      </c>
      <c r="G12" s="57"/>
      <c r="H12" s="66" t="s">
        <v>733</v>
      </c>
      <c r="I12" s="57"/>
      <c r="J12" s="67">
        <v>11870352.876835456</v>
      </c>
    </row>
    <row r="13" spans="1:10" x14ac:dyDescent="0.2">
      <c r="A13" s="65">
        <f>A12+1</f>
        <v>6</v>
      </c>
      <c r="B13" s="57"/>
      <c r="C13" s="71" t="s">
        <v>63</v>
      </c>
      <c r="D13" s="57"/>
      <c r="E13" s="57"/>
      <c r="F13" s="57" t="s">
        <v>56</v>
      </c>
      <c r="G13" s="57"/>
      <c r="H13" s="66" t="s">
        <v>734</v>
      </c>
      <c r="I13" s="57"/>
      <c r="J13" s="67">
        <v>1853021.6013951434</v>
      </c>
    </row>
    <row r="14" spans="1:10" x14ac:dyDescent="0.2">
      <c r="A14" s="65">
        <f>A13+1</f>
        <v>7</v>
      </c>
      <c r="B14" s="57"/>
      <c r="C14" s="70" t="s">
        <v>64</v>
      </c>
      <c r="D14" s="57"/>
      <c r="E14" s="57"/>
      <c r="F14" s="68" t="s">
        <v>65</v>
      </c>
      <c r="G14" s="57"/>
      <c r="H14" s="57" t="s">
        <v>735</v>
      </c>
      <c r="I14" s="57"/>
      <c r="J14" s="72">
        <v>7080196.2435117904</v>
      </c>
    </row>
    <row r="15" spans="1:10" x14ac:dyDescent="0.2">
      <c r="A15" s="65">
        <f>A14+1</f>
        <v>8</v>
      </c>
      <c r="B15" s="57"/>
      <c r="C15" s="70" t="s">
        <v>66</v>
      </c>
      <c r="D15" s="57"/>
      <c r="E15" s="57"/>
      <c r="F15" s="57"/>
      <c r="G15" s="57"/>
      <c r="H15" s="57" t="str">
        <f>"Line "&amp;A12&amp;" + Line "&amp;A13&amp;" + Line "&amp;A14&amp;""</f>
        <v>Line 5 + Line 6 + Line 7</v>
      </c>
      <c r="I15" s="57"/>
      <c r="J15" s="67">
        <f>SUM(J12:J14)</f>
        <v>20803570.721742392</v>
      </c>
    </row>
    <row r="16" spans="1:10" x14ac:dyDescent="0.2">
      <c r="A16" s="65"/>
      <c r="B16" s="57"/>
      <c r="C16" s="70"/>
      <c r="D16" s="57"/>
      <c r="E16" s="57"/>
      <c r="F16" s="57"/>
      <c r="G16" s="57"/>
      <c r="H16" s="57"/>
      <c r="I16" s="57"/>
      <c r="J16" s="67"/>
    </row>
    <row r="17" spans="1:10" x14ac:dyDescent="0.2">
      <c r="A17" s="65"/>
      <c r="B17" s="57"/>
      <c r="C17" s="73" t="s">
        <v>67</v>
      </c>
      <c r="D17" s="57"/>
      <c r="E17" s="57"/>
      <c r="F17" s="57"/>
      <c r="G17" s="57"/>
      <c r="H17" s="57"/>
      <c r="I17" s="57"/>
      <c r="J17" s="67"/>
    </row>
    <row r="18" spans="1:10" x14ac:dyDescent="0.2">
      <c r="A18" s="65">
        <f>A15+1</f>
        <v>9</v>
      </c>
      <c r="B18" s="57"/>
      <c r="C18" s="70" t="s">
        <v>68</v>
      </c>
      <c r="D18" s="57"/>
      <c r="E18" s="57"/>
      <c r="F18" s="57" t="s">
        <v>56</v>
      </c>
      <c r="G18" s="57" t="s">
        <v>69</v>
      </c>
      <c r="H18" s="66" t="s">
        <v>752</v>
      </c>
      <c r="I18" s="57"/>
      <c r="J18" s="67">
        <v>-1016502799.254263</v>
      </c>
    </row>
    <row r="19" spans="1:10" x14ac:dyDescent="0.2">
      <c r="A19" s="65">
        <f>A18+1</f>
        <v>10</v>
      </c>
      <c r="B19" s="57"/>
      <c r="C19" s="70" t="s">
        <v>70</v>
      </c>
      <c r="D19" s="57"/>
      <c r="E19" s="57"/>
      <c r="F19" s="57" t="s">
        <v>58</v>
      </c>
      <c r="G19" s="57" t="s">
        <v>69</v>
      </c>
      <c r="H19" s="66" t="s">
        <v>753</v>
      </c>
      <c r="I19" s="57"/>
      <c r="J19" s="67">
        <v>-1125318.0869653528</v>
      </c>
    </row>
    <row r="20" spans="1:10" x14ac:dyDescent="0.2">
      <c r="A20" s="65">
        <f>A19+1</f>
        <v>11</v>
      </c>
      <c r="B20" s="57"/>
      <c r="C20" s="70" t="s">
        <v>71</v>
      </c>
      <c r="D20" s="74"/>
      <c r="E20" s="57"/>
      <c r="F20" s="57" t="s">
        <v>58</v>
      </c>
      <c r="G20" s="57" t="s">
        <v>69</v>
      </c>
      <c r="H20" s="66" t="s">
        <v>754</v>
      </c>
      <c r="I20" s="57"/>
      <c r="J20" s="72">
        <v>-52619745.790288039</v>
      </c>
    </row>
    <row r="21" spans="1:10" x14ac:dyDescent="0.2">
      <c r="A21" s="65">
        <f>A20+1</f>
        <v>12</v>
      </c>
      <c r="B21" s="57"/>
      <c r="C21" s="75" t="s">
        <v>72</v>
      </c>
      <c r="D21" s="74"/>
      <c r="E21" s="57"/>
      <c r="F21" s="57"/>
      <c r="G21" s="57"/>
      <c r="H21" s="57" t="str">
        <f>"Line "&amp;A18&amp;" + Line "&amp;A19&amp;" + Line "&amp;A20&amp;""</f>
        <v>Line 9 + Line 10 + Line 11</v>
      </c>
      <c r="I21" s="57"/>
      <c r="J21" s="67">
        <f>SUM(J18:J20)</f>
        <v>-1070247863.1315165</v>
      </c>
    </row>
    <row r="22" spans="1:10" x14ac:dyDescent="0.2">
      <c r="A22" s="65"/>
      <c r="B22" s="57"/>
      <c r="C22" s="68"/>
      <c r="D22" s="57"/>
      <c r="E22" s="57"/>
      <c r="F22" s="57"/>
      <c r="G22" s="57"/>
      <c r="H22" s="57"/>
      <c r="I22" s="57"/>
      <c r="J22" s="67"/>
    </row>
    <row r="23" spans="1:10" x14ac:dyDescent="0.2">
      <c r="A23" s="65">
        <f>A21+1</f>
        <v>13</v>
      </c>
      <c r="B23" s="57"/>
      <c r="C23" s="76" t="s">
        <v>73</v>
      </c>
      <c r="D23" s="57"/>
      <c r="E23" s="57"/>
      <c r="F23" s="57" t="s">
        <v>58</v>
      </c>
      <c r="G23" s="57"/>
      <c r="H23" s="66" t="s">
        <v>755</v>
      </c>
      <c r="I23" s="57"/>
      <c r="J23" s="67">
        <v>-553203286.56209517</v>
      </c>
    </row>
    <row r="24" spans="1:10" x14ac:dyDescent="0.2">
      <c r="A24" s="65">
        <f>A23+1</f>
        <v>14</v>
      </c>
      <c r="B24" s="57"/>
      <c r="C24" s="66" t="s">
        <v>74</v>
      </c>
      <c r="D24" s="57"/>
      <c r="E24" s="57"/>
      <c r="F24" s="57" t="s">
        <v>56</v>
      </c>
      <c r="G24" s="57"/>
      <c r="H24" s="66" t="s">
        <v>756</v>
      </c>
      <c r="I24" s="57"/>
      <c r="J24" s="77">
        <v>1414493589.3113952</v>
      </c>
    </row>
    <row r="25" spans="1:10" x14ac:dyDescent="0.2">
      <c r="A25" s="65">
        <f>A24+1</f>
        <v>15</v>
      </c>
      <c r="B25" s="57"/>
      <c r="C25" s="76" t="s">
        <v>75</v>
      </c>
      <c r="D25" s="57"/>
      <c r="E25" s="57"/>
      <c r="F25" s="57" t="s">
        <v>58</v>
      </c>
      <c r="G25" s="57" t="s">
        <v>69</v>
      </c>
      <c r="H25" s="66" t="s">
        <v>757</v>
      </c>
      <c r="I25" s="57"/>
      <c r="J25" s="67">
        <v>-15595540</v>
      </c>
    </row>
    <row r="26" spans="1:10" x14ac:dyDescent="0.2">
      <c r="A26" s="65" t="s">
        <v>76</v>
      </c>
      <c r="B26" s="57"/>
      <c r="C26" s="66" t="s">
        <v>77</v>
      </c>
      <c r="D26" s="57"/>
      <c r="E26" s="57"/>
      <c r="F26" s="57"/>
      <c r="G26" s="57"/>
      <c r="H26" s="68" t="s">
        <v>758</v>
      </c>
      <c r="I26" s="57"/>
      <c r="J26" s="67">
        <v>-8128032.9490774116</v>
      </c>
    </row>
    <row r="27" spans="1:10" x14ac:dyDescent="0.2">
      <c r="A27" s="65">
        <v>16</v>
      </c>
      <c r="B27" s="57"/>
      <c r="C27" s="76" t="s">
        <v>78</v>
      </c>
      <c r="D27" s="57"/>
      <c r="E27" s="57"/>
      <c r="F27" s="57" t="s">
        <v>58</v>
      </c>
      <c r="G27" s="57"/>
      <c r="H27" s="66" t="s">
        <v>759</v>
      </c>
      <c r="I27" s="57"/>
      <c r="J27" s="67">
        <v>0</v>
      </c>
    </row>
    <row r="28" spans="1:10" x14ac:dyDescent="0.2">
      <c r="A28" s="65"/>
      <c r="B28" s="57"/>
      <c r="C28" s="76"/>
      <c r="D28" s="57"/>
      <c r="E28" s="57"/>
      <c r="F28" s="57"/>
      <c r="G28" s="57"/>
      <c r="H28" s="57"/>
      <c r="I28" s="57"/>
      <c r="J28" s="78"/>
    </row>
    <row r="29" spans="1:10" x14ac:dyDescent="0.2">
      <c r="A29" s="65">
        <v>17</v>
      </c>
      <c r="B29" s="57"/>
      <c r="C29" s="57" t="s">
        <v>79</v>
      </c>
      <c r="D29" s="57"/>
      <c r="E29" s="57"/>
      <c r="F29" s="57"/>
      <c r="G29" s="57"/>
      <c r="H29" s="57" t="str">
        <f>"L"&amp;A6&amp;"+L"&amp;A7&amp;"+L"&amp;A8&amp;"+L"&amp;A9&amp;"+L"&amp;A15&amp;"+L"&amp;A21&amp;"+"</f>
        <v>L1+L2+L3+L4+L8+L12+</v>
      </c>
      <c r="I29" s="57"/>
      <c r="J29" s="77">
        <f>J6+ J7+J8+J9+J15+J21+J23+J24+J25+J26+J27</f>
        <v>3593454519.4447908</v>
      </c>
    </row>
    <row r="30" spans="1:10" x14ac:dyDescent="0.2">
      <c r="A30" s="65"/>
      <c r="B30" s="57"/>
      <c r="C30" s="57"/>
      <c r="D30" s="57"/>
      <c r="E30" s="57"/>
      <c r="F30" s="57"/>
      <c r="G30" s="57"/>
      <c r="H30" s="57" t="str">
        <f>"L"&amp;A23&amp;"+L"&amp;A24&amp;"+L"&amp;A25&amp;"+L"&amp;A26&amp;"+L"&amp;A27&amp;""</f>
        <v>L13+L14+L15+L15a+L16</v>
      </c>
      <c r="I30" s="57"/>
      <c r="J30" s="67"/>
    </row>
    <row r="31" spans="1:10" x14ac:dyDescent="0.2">
      <c r="A31" s="65"/>
      <c r="B31" s="79" t="s">
        <v>80</v>
      </c>
      <c r="D31" s="57"/>
      <c r="E31" s="57"/>
      <c r="F31" s="57"/>
      <c r="G31" s="57"/>
      <c r="H31" s="57"/>
      <c r="I31" s="57"/>
      <c r="J31" s="67"/>
    </row>
    <row r="32" spans="1:10" x14ac:dyDescent="0.2">
      <c r="A32" s="80" t="s">
        <v>50</v>
      </c>
      <c r="B32" s="57"/>
      <c r="C32" s="79"/>
      <c r="D32" s="57"/>
      <c r="E32" s="57"/>
      <c r="F32" s="57"/>
      <c r="G32" s="57"/>
      <c r="H32" s="57"/>
      <c r="I32" s="57"/>
      <c r="J32" s="67"/>
    </row>
    <row r="33" spans="1:10" x14ac:dyDescent="0.2">
      <c r="A33" s="65">
        <f>A29+1</f>
        <v>18</v>
      </c>
      <c r="B33" s="57"/>
      <c r="C33" s="57" t="s">
        <v>81</v>
      </c>
      <c r="D33" s="57"/>
      <c r="E33" s="57"/>
      <c r="F33" s="57"/>
      <c r="G33" s="68" t="s">
        <v>82</v>
      </c>
      <c r="H33" s="68" t="str">
        <f>"Instruction 1, Line "&amp;B97&amp;""</f>
        <v>Instruction 1, Line j</v>
      </c>
      <c r="I33" s="57"/>
      <c r="J33" s="81">
        <f>E97</f>
        <v>7.4939357100168899E-2</v>
      </c>
    </row>
    <row r="34" spans="1:10" x14ac:dyDescent="0.2">
      <c r="A34" s="60">
        <f>A33+1</f>
        <v>19</v>
      </c>
      <c r="C34" s="68" t="s">
        <v>83</v>
      </c>
      <c r="D34" s="68"/>
      <c r="E34" s="68"/>
      <c r="F34" s="68"/>
      <c r="G34" s="68"/>
      <c r="H34" t="str">
        <f>"Line "&amp;A29&amp;" * Line "&amp;A33&amp;""</f>
        <v>Line 17 * Line 18</v>
      </c>
      <c r="J34" s="82">
        <f>J29*J33</f>
        <v>269291171.45588899</v>
      </c>
    </row>
    <row r="35" spans="1:10" x14ac:dyDescent="0.2">
      <c r="A35" s="60"/>
      <c r="B35" s="62"/>
      <c r="J35" s="78"/>
    </row>
    <row r="36" spans="1:10" x14ac:dyDescent="0.2">
      <c r="A36" s="60"/>
      <c r="B36" s="56" t="s">
        <v>84</v>
      </c>
      <c r="J36" s="78"/>
    </row>
    <row r="37" spans="1:10" x14ac:dyDescent="0.2">
      <c r="A37" s="65"/>
      <c r="B37" s="71"/>
      <c r="C37" s="57"/>
      <c r="D37" s="57"/>
      <c r="E37" s="57"/>
      <c r="F37" s="57"/>
      <c r="G37" s="57"/>
      <c r="H37" s="57"/>
      <c r="I37" s="57"/>
      <c r="J37" s="78"/>
    </row>
    <row r="38" spans="1:10" x14ac:dyDescent="0.2">
      <c r="A38" s="65">
        <f>A34+1</f>
        <v>20</v>
      </c>
      <c r="B38" s="57"/>
      <c r="C38" s="68" t="s">
        <v>85</v>
      </c>
      <c r="D38" s="57"/>
      <c r="E38" s="57"/>
      <c r="F38" s="57"/>
      <c r="G38" s="57"/>
      <c r="H38" s="57"/>
      <c r="I38" s="57"/>
      <c r="J38" s="77">
        <f>(((J29*J42) + J45) *(J43/(1-J43)))+(J44/(1-J43))</f>
        <v>126351744.19457024</v>
      </c>
    </row>
    <row r="39" spans="1:10" x14ac:dyDescent="0.2">
      <c r="A39" s="65"/>
      <c r="B39" s="57"/>
      <c r="C39" s="57"/>
      <c r="D39" s="57"/>
      <c r="E39" s="57"/>
      <c r="F39" s="57"/>
      <c r="G39" s="57"/>
      <c r="H39" s="57"/>
      <c r="I39" s="57"/>
      <c r="J39" s="83"/>
    </row>
    <row r="40" spans="1:10" x14ac:dyDescent="0.2">
      <c r="A40" s="65"/>
      <c r="B40" s="57"/>
      <c r="C40" s="57"/>
      <c r="D40" s="57" t="s">
        <v>86</v>
      </c>
      <c r="E40" s="57"/>
      <c r="F40" s="57"/>
      <c r="G40" s="57"/>
      <c r="H40" s="57"/>
      <c r="I40" s="57"/>
      <c r="J40" s="78"/>
    </row>
    <row r="41" spans="1:10" x14ac:dyDescent="0.2">
      <c r="A41" s="65">
        <f>A38+1</f>
        <v>21</v>
      </c>
      <c r="B41" s="57"/>
      <c r="C41" s="57"/>
      <c r="D41" s="71" t="s">
        <v>87</v>
      </c>
      <c r="E41" s="57"/>
      <c r="F41" s="57"/>
      <c r="G41" s="57"/>
      <c r="H41" s="57" t="str">
        <f>"Line "&amp;A29&amp;""</f>
        <v>Line 17</v>
      </c>
      <c r="I41" s="57"/>
      <c r="J41" s="77">
        <f>J29</f>
        <v>3593454519.4447908</v>
      </c>
    </row>
    <row r="42" spans="1:10" x14ac:dyDescent="0.2">
      <c r="A42" s="65">
        <f>A41+1</f>
        <v>22</v>
      </c>
      <c r="B42" s="57"/>
      <c r="C42" s="57"/>
      <c r="D42" s="70" t="s">
        <v>88</v>
      </c>
      <c r="E42" s="57"/>
      <c r="F42" s="57"/>
      <c r="G42" s="68" t="s">
        <v>89</v>
      </c>
      <c r="H42" s="68" t="str">
        <f>"Instruction 1, Line "&amp;B102&amp;""</f>
        <v>Instruction 1, Line k</v>
      </c>
      <c r="I42" s="57"/>
      <c r="J42" s="84">
        <f>E102</f>
        <v>5.0894164829164965E-2</v>
      </c>
    </row>
    <row r="43" spans="1:10" x14ac:dyDescent="0.2">
      <c r="A43" s="65">
        <f>A42+1</f>
        <v>23</v>
      </c>
      <c r="B43" s="57"/>
      <c r="C43" s="57"/>
      <c r="D43" s="71" t="s">
        <v>90</v>
      </c>
      <c r="E43" s="57"/>
      <c r="F43" s="57"/>
      <c r="G43" s="57"/>
      <c r="H43" s="57" t="s">
        <v>736</v>
      </c>
      <c r="I43" s="57"/>
      <c r="J43" s="84">
        <v>0.39936028204298801</v>
      </c>
    </row>
    <row r="44" spans="1:10" x14ac:dyDescent="0.2">
      <c r="A44" s="65">
        <f>A43+1</f>
        <v>24</v>
      </c>
      <c r="B44" s="57"/>
      <c r="C44" s="57"/>
      <c r="D44" s="71" t="s">
        <v>91</v>
      </c>
      <c r="E44" s="57"/>
      <c r="F44" s="57"/>
      <c r="G44" s="57"/>
      <c r="H44" s="57" t="s">
        <v>737</v>
      </c>
      <c r="I44" s="57"/>
      <c r="J44" s="67">
        <v>2086200</v>
      </c>
    </row>
    <row r="45" spans="1:10" x14ac:dyDescent="0.2">
      <c r="A45" s="65">
        <f>A44+1</f>
        <v>25</v>
      </c>
      <c r="B45" s="57"/>
      <c r="C45" s="57"/>
      <c r="D45" s="71" t="s">
        <v>92</v>
      </c>
      <c r="E45" s="57"/>
      <c r="F45" s="57"/>
      <c r="G45" s="57"/>
      <c r="H45" s="57" t="s">
        <v>738</v>
      </c>
      <c r="I45" s="57"/>
      <c r="J45" s="85">
        <v>1923888.67</v>
      </c>
    </row>
    <row r="46" spans="1:10" x14ac:dyDescent="0.2">
      <c r="A46" s="65"/>
      <c r="B46" s="71"/>
      <c r="C46" s="57"/>
      <c r="D46" s="57"/>
      <c r="E46" s="57"/>
      <c r="F46" s="57"/>
      <c r="G46" s="57"/>
      <c r="H46" s="57"/>
      <c r="I46" s="57"/>
      <c r="J46" s="78"/>
    </row>
    <row r="47" spans="1:10" x14ac:dyDescent="0.2">
      <c r="A47" s="65"/>
      <c r="B47" s="79" t="s">
        <v>93</v>
      </c>
      <c r="D47" s="57"/>
      <c r="E47" s="57"/>
      <c r="F47" s="57"/>
      <c r="G47" s="57"/>
      <c r="H47" s="57"/>
      <c r="I47" s="57"/>
      <c r="J47" s="78"/>
    </row>
    <row r="48" spans="1:10" x14ac:dyDescent="0.2">
      <c r="A48" s="65">
        <f>A45+1</f>
        <v>26</v>
      </c>
      <c r="B48" s="71"/>
      <c r="C48" s="57" t="s">
        <v>94</v>
      </c>
      <c r="D48" s="57"/>
      <c r="E48" s="57"/>
      <c r="F48" s="57"/>
      <c r="G48" s="57"/>
      <c r="H48" s="57" t="s">
        <v>739</v>
      </c>
      <c r="I48" s="57"/>
      <c r="J48" s="67">
        <v>79435590.430285335</v>
      </c>
    </row>
    <row r="49" spans="1:10" x14ac:dyDescent="0.2">
      <c r="A49" s="65">
        <f t="shared" ref="A49:A59" si="0">A48+1</f>
        <v>27</v>
      </c>
      <c r="B49" s="71"/>
      <c r="C49" s="68" t="s">
        <v>95</v>
      </c>
      <c r="D49" s="57"/>
      <c r="E49" s="57"/>
      <c r="F49" s="57"/>
      <c r="G49" s="57"/>
      <c r="H49" s="57" t="s">
        <v>740</v>
      </c>
      <c r="I49" s="57"/>
      <c r="J49" s="67">
        <v>33847549.465903319</v>
      </c>
    </row>
    <row r="50" spans="1:10" x14ac:dyDescent="0.2">
      <c r="A50" s="65">
        <f t="shared" si="0"/>
        <v>28</v>
      </c>
      <c r="B50" s="71"/>
      <c r="C50" s="57" t="s">
        <v>96</v>
      </c>
      <c r="D50" s="57"/>
      <c r="E50" s="57"/>
      <c r="F50" s="57"/>
      <c r="G50" s="57"/>
      <c r="H50" s="57" t="s">
        <v>741</v>
      </c>
      <c r="I50" s="57"/>
      <c r="J50" s="67">
        <v>617891</v>
      </c>
    </row>
    <row r="51" spans="1:10" x14ac:dyDescent="0.2">
      <c r="A51" s="65">
        <f t="shared" si="0"/>
        <v>29</v>
      </c>
      <c r="B51" s="71"/>
      <c r="C51" s="68" t="s">
        <v>97</v>
      </c>
      <c r="D51" s="57"/>
      <c r="E51" s="57"/>
      <c r="F51" s="57"/>
      <c r="G51" s="57"/>
      <c r="H51" s="57" t="s">
        <v>742</v>
      </c>
      <c r="I51" s="57"/>
      <c r="J51" s="67">
        <v>104188251.23380898</v>
      </c>
    </row>
    <row r="52" spans="1:10" x14ac:dyDescent="0.2">
      <c r="A52" s="65">
        <f t="shared" si="0"/>
        <v>30</v>
      </c>
      <c r="B52" s="71"/>
      <c r="C52" s="68" t="s">
        <v>98</v>
      </c>
      <c r="D52" s="57"/>
      <c r="E52" s="57"/>
      <c r="F52" s="57"/>
      <c r="G52" s="57"/>
      <c r="H52" s="57" t="s">
        <v>743</v>
      </c>
      <c r="I52" s="57"/>
      <c r="J52" s="67">
        <v>11028000</v>
      </c>
    </row>
    <row r="53" spans="1:10" x14ac:dyDescent="0.2">
      <c r="A53" s="65">
        <f t="shared" si="0"/>
        <v>31</v>
      </c>
      <c r="B53" s="71"/>
      <c r="C53" s="68" t="s">
        <v>99</v>
      </c>
      <c r="D53" s="57"/>
      <c r="E53" s="57"/>
      <c r="F53" s="57"/>
      <c r="G53" s="57"/>
      <c r="H53" s="57" t="s">
        <v>744</v>
      </c>
      <c r="I53" s="57"/>
      <c r="J53" s="67">
        <v>25270453.324389562</v>
      </c>
    </row>
    <row r="54" spans="1:10" x14ac:dyDescent="0.2">
      <c r="A54" s="65">
        <f t="shared" si="0"/>
        <v>32</v>
      </c>
      <c r="B54" s="71"/>
      <c r="C54" s="57" t="s">
        <v>100</v>
      </c>
      <c r="D54" s="57"/>
      <c r="E54" s="57"/>
      <c r="F54" s="57"/>
      <c r="G54" s="68"/>
      <c r="H54" s="57" t="s">
        <v>745</v>
      </c>
      <c r="I54" s="57"/>
      <c r="J54" s="67">
        <v>-49681901.698689714</v>
      </c>
    </row>
    <row r="55" spans="1:10" x14ac:dyDescent="0.2">
      <c r="A55" s="65">
        <f t="shared" si="0"/>
        <v>33</v>
      </c>
      <c r="B55" s="71"/>
      <c r="C55" s="57" t="s">
        <v>101</v>
      </c>
      <c r="D55" s="57"/>
      <c r="E55" s="57"/>
      <c r="F55" s="57"/>
      <c r="G55" s="57"/>
      <c r="H55" s="57" t="str">
        <f>"Line "&amp;A34&amp;""</f>
        <v>Line 19</v>
      </c>
      <c r="I55" s="57"/>
      <c r="J55" s="77">
        <f>J34</f>
        <v>269291171.45588899</v>
      </c>
    </row>
    <row r="56" spans="1:10" x14ac:dyDescent="0.2">
      <c r="A56" s="65">
        <f t="shared" si="0"/>
        <v>34</v>
      </c>
      <c r="B56" s="71"/>
      <c r="C56" s="57" t="s">
        <v>102</v>
      </c>
      <c r="D56" s="57"/>
      <c r="E56" s="57"/>
      <c r="F56" s="57"/>
      <c r="G56" s="57"/>
      <c r="H56" s="57" t="str">
        <f>"Line "&amp;A38&amp;""</f>
        <v>Line 20</v>
      </c>
      <c r="I56" s="57"/>
      <c r="J56" s="82">
        <f>J38</f>
        <v>126351744.19457024</v>
      </c>
    </row>
    <row r="57" spans="1:10" x14ac:dyDescent="0.2">
      <c r="A57" s="65">
        <f t="shared" si="0"/>
        <v>35</v>
      </c>
      <c r="B57" s="71"/>
      <c r="C57" s="68" t="s">
        <v>103</v>
      </c>
      <c r="D57" s="57"/>
      <c r="E57" s="57"/>
      <c r="F57" s="57"/>
      <c r="G57" s="57"/>
      <c r="H57" s="57" t="s">
        <v>746</v>
      </c>
      <c r="I57" s="57"/>
      <c r="J57" s="85">
        <v>0</v>
      </c>
    </row>
    <row r="58" spans="1:10" x14ac:dyDescent="0.2">
      <c r="A58" s="65">
        <f t="shared" si="0"/>
        <v>36</v>
      </c>
      <c r="B58" s="71"/>
      <c r="C58" s="86" t="s">
        <v>104</v>
      </c>
      <c r="D58" s="87"/>
      <c r="E58" s="57"/>
      <c r="F58" s="57"/>
      <c r="G58" s="57"/>
      <c r="H58" s="57" t="s">
        <v>747</v>
      </c>
      <c r="I58" s="57"/>
      <c r="J58" s="72">
        <v>0</v>
      </c>
    </row>
    <row r="59" spans="1:10" x14ac:dyDescent="0.2">
      <c r="A59" s="65">
        <f t="shared" si="0"/>
        <v>37</v>
      </c>
      <c r="B59" s="71"/>
      <c r="C59" s="68" t="s">
        <v>105</v>
      </c>
      <c r="D59" s="57"/>
      <c r="E59" s="57"/>
      <c r="F59" s="57"/>
      <c r="G59" s="57"/>
      <c r="H59" s="57" t="str">
        <f>"Sum Line "&amp;A48&amp;" to Line "&amp;A58&amp;""</f>
        <v>Sum Line 26 to Line 36</v>
      </c>
      <c r="I59" s="57"/>
      <c r="J59" s="77">
        <f>SUM(J48:J58)</f>
        <v>600348749.40615678</v>
      </c>
    </row>
    <row r="60" spans="1:10" x14ac:dyDescent="0.2">
      <c r="A60" s="65"/>
      <c r="B60" s="71"/>
      <c r="C60" s="57"/>
      <c r="D60" s="57"/>
      <c r="E60" s="57"/>
      <c r="F60" s="57"/>
      <c r="G60" s="57"/>
      <c r="H60" s="57"/>
      <c r="I60" s="57"/>
      <c r="J60" s="67"/>
    </row>
    <row r="61" spans="1:10" ht="12.75" customHeight="1" x14ac:dyDescent="0.2">
      <c r="A61" s="65">
        <f>A59+1</f>
        <v>38</v>
      </c>
      <c r="B61" s="71"/>
      <c r="C61" s="68" t="s">
        <v>106</v>
      </c>
      <c r="D61" s="57"/>
      <c r="E61" s="57"/>
      <c r="F61" s="57"/>
      <c r="G61" s="57"/>
      <c r="H61" s="57" t="s">
        <v>760</v>
      </c>
      <c r="I61" s="57"/>
      <c r="J61" s="77">
        <v>19216578.126865491</v>
      </c>
    </row>
    <row r="62" spans="1:10" x14ac:dyDescent="0.2">
      <c r="A62" s="65"/>
      <c r="B62" s="71"/>
      <c r="C62" s="68"/>
      <c r="D62" s="57"/>
      <c r="E62" s="57"/>
      <c r="F62" s="57"/>
      <c r="G62" s="57"/>
      <c r="H62" s="57"/>
      <c r="I62" s="57"/>
      <c r="J62" s="67"/>
    </row>
    <row r="63" spans="1:10" x14ac:dyDescent="0.2">
      <c r="A63" s="65">
        <f>A61+1</f>
        <v>39</v>
      </c>
      <c r="B63" s="71"/>
      <c r="C63" s="68" t="s">
        <v>107</v>
      </c>
      <c r="D63" s="57"/>
      <c r="E63" s="57"/>
      <c r="F63" s="57"/>
      <c r="G63" s="57"/>
      <c r="H63" s="57" t="str">
        <f>"Line "&amp;A59&amp;" + Line "&amp;A61&amp;""</f>
        <v>Line 37 + Line 38</v>
      </c>
      <c r="I63" s="57"/>
      <c r="J63" s="77">
        <f>J59+J61</f>
        <v>619565327.53302228</v>
      </c>
    </row>
    <row r="64" spans="1:10" x14ac:dyDescent="0.2">
      <c r="A64" s="65"/>
      <c r="B64" s="71"/>
      <c r="C64" s="68"/>
      <c r="D64" s="57"/>
      <c r="E64" s="57"/>
      <c r="F64" s="57"/>
      <c r="G64" s="57"/>
      <c r="H64" s="57"/>
      <c r="I64" s="57"/>
      <c r="J64" s="88"/>
    </row>
    <row r="65" spans="1:10" x14ac:dyDescent="0.2">
      <c r="A65" s="65"/>
      <c r="B65" s="89" t="s">
        <v>108</v>
      </c>
      <c r="C65" s="68"/>
      <c r="D65" s="57"/>
      <c r="E65" s="57"/>
      <c r="F65" s="57"/>
      <c r="G65" s="57"/>
      <c r="H65" s="57"/>
      <c r="I65" s="57"/>
      <c r="J65" s="88"/>
    </row>
    <row r="66" spans="1:10" ht="13.5" thickBot="1" x14ac:dyDescent="0.25">
      <c r="A66" s="61" t="s">
        <v>50</v>
      </c>
      <c r="B66" s="90"/>
      <c r="G66" s="63" t="s">
        <v>109</v>
      </c>
    </row>
    <row r="67" spans="1:10" x14ac:dyDescent="0.2">
      <c r="A67" s="65">
        <f>A63+1</f>
        <v>40</v>
      </c>
      <c r="B67" s="76"/>
      <c r="C67" s="57"/>
      <c r="D67" s="91" t="s">
        <v>110</v>
      </c>
      <c r="E67" s="77">
        <f>J63</f>
        <v>619565327.53302228</v>
      </c>
      <c r="F67" s="57"/>
      <c r="G67" s="57" t="str">
        <f>"Line "&amp;A63&amp;""</f>
        <v>Line 39</v>
      </c>
      <c r="H67" s="57"/>
      <c r="I67" s="57"/>
      <c r="J67" s="92" t="s">
        <v>111</v>
      </c>
    </row>
    <row r="68" spans="1:10" x14ac:dyDescent="0.2">
      <c r="A68" s="65">
        <f>A67+1</f>
        <v>41</v>
      </c>
      <c r="B68" s="76"/>
      <c r="C68" s="57"/>
      <c r="D68" s="91" t="s">
        <v>112</v>
      </c>
      <c r="E68" s="93">
        <v>9.1427999999999995E-3</v>
      </c>
      <c r="F68" s="57"/>
      <c r="G68" s="57" t="s">
        <v>761</v>
      </c>
      <c r="H68" s="57"/>
      <c r="I68" s="57"/>
      <c r="J68" s="94" t="s">
        <v>113</v>
      </c>
    </row>
    <row r="69" spans="1:10" x14ac:dyDescent="0.2">
      <c r="A69" s="65">
        <f>A68+1</f>
        <v>42</v>
      </c>
      <c r="B69" s="76"/>
      <c r="C69" s="57"/>
      <c r="D69" s="95" t="s">
        <v>114</v>
      </c>
      <c r="E69" s="77">
        <v>5664561.8765689163</v>
      </c>
      <c r="F69" s="57"/>
      <c r="G69" s="57" t="str">
        <f>"Line "&amp;A67&amp;" * Line "&amp;A68&amp;""</f>
        <v>Line 40 * Line 41</v>
      </c>
      <c r="H69" s="57"/>
      <c r="I69" s="57"/>
      <c r="J69" s="96">
        <f>E72</f>
        <v>626502600.50540948</v>
      </c>
    </row>
    <row r="70" spans="1:10" x14ac:dyDescent="0.2">
      <c r="A70" s="65">
        <f>A69+1</f>
        <v>43</v>
      </c>
      <c r="B70" s="76"/>
      <c r="C70" s="57"/>
      <c r="D70" s="91" t="s">
        <v>115</v>
      </c>
      <c r="E70" s="93">
        <v>2.0541999999999999E-3</v>
      </c>
      <c r="F70" s="57"/>
      <c r="G70" s="57" t="s">
        <v>761</v>
      </c>
      <c r="H70" s="57"/>
      <c r="I70" s="57"/>
      <c r="J70" s="97">
        <v>626424153.02268422</v>
      </c>
    </row>
    <row r="71" spans="1:10" ht="13.5" thickBot="1" x14ac:dyDescent="0.25">
      <c r="A71" s="65">
        <f>A70+1</f>
        <v>44</v>
      </c>
      <c r="B71" s="76"/>
      <c r="C71" s="57"/>
      <c r="D71" s="91" t="s">
        <v>116</v>
      </c>
      <c r="E71" s="77">
        <v>1272711.0958183343</v>
      </c>
      <c r="F71" s="57"/>
      <c r="G71" s="57" t="str">
        <f>"Line "&amp;A69&amp;" * Line "&amp;A70&amp;""</f>
        <v>Line 42 * Line 43</v>
      </c>
      <c r="H71" s="57"/>
      <c r="I71" s="78"/>
      <c r="J71" s="98">
        <f>J69-J70</f>
        <v>78447.482725262642</v>
      </c>
    </row>
    <row r="72" spans="1:10" x14ac:dyDescent="0.2">
      <c r="A72" s="65">
        <f>A71+1</f>
        <v>45</v>
      </c>
      <c r="B72" s="76"/>
      <c r="C72" s="57"/>
      <c r="D72" s="91" t="s">
        <v>117</v>
      </c>
      <c r="E72" s="77">
        <f>E67+E69+E71</f>
        <v>626502600.50540948</v>
      </c>
      <c r="F72" s="57"/>
      <c r="G72" s="57" t="str">
        <f>"L "&amp;A67&amp;" + L "&amp;A69&amp;" + L "&amp;A71&amp;""</f>
        <v>L 40 + L 42 + L 44</v>
      </c>
      <c r="H72" s="57"/>
      <c r="I72" s="57"/>
      <c r="J72" s="57"/>
    </row>
    <row r="73" spans="1:10" x14ac:dyDescent="0.2">
      <c r="A73" s="57"/>
      <c r="B73" s="99" t="s">
        <v>118</v>
      </c>
      <c r="C73" s="57"/>
      <c r="D73" s="95"/>
      <c r="E73" s="88"/>
      <c r="F73" s="57"/>
      <c r="G73" s="57"/>
      <c r="H73" s="100"/>
      <c r="I73" s="57"/>
      <c r="J73" s="57"/>
    </row>
    <row r="74" spans="1:10" x14ac:dyDescent="0.2">
      <c r="A74" s="65"/>
      <c r="B74" s="68" t="s">
        <v>119</v>
      </c>
      <c r="C74" s="89"/>
      <c r="D74" s="95"/>
      <c r="E74" s="88"/>
      <c r="F74" s="57"/>
      <c r="G74" s="57"/>
      <c r="H74" s="57"/>
      <c r="I74" s="57"/>
      <c r="J74" s="57"/>
    </row>
    <row r="75" spans="1:10" x14ac:dyDescent="0.2">
      <c r="A75" s="65"/>
      <c r="B75" s="68" t="s">
        <v>120</v>
      </c>
      <c r="C75" s="89"/>
      <c r="D75" s="95"/>
      <c r="E75" s="88"/>
      <c r="F75" s="57"/>
      <c r="G75" s="57"/>
      <c r="H75" s="57"/>
      <c r="I75" s="57"/>
      <c r="J75" s="57"/>
    </row>
    <row r="76" spans="1:10" x14ac:dyDescent="0.2">
      <c r="A76" s="65"/>
      <c r="B76" s="66" t="s">
        <v>121</v>
      </c>
      <c r="C76" s="68"/>
      <c r="D76" s="95"/>
      <c r="E76" s="88"/>
      <c r="F76" s="57"/>
      <c r="G76" s="57"/>
      <c r="H76" s="57"/>
      <c r="I76" s="57"/>
      <c r="J76" s="57"/>
    </row>
    <row r="77" spans="1:10" x14ac:dyDescent="0.2">
      <c r="A77" s="65"/>
      <c r="B77" s="66" t="s">
        <v>122</v>
      </c>
      <c r="C77" s="57"/>
      <c r="D77" s="95"/>
      <c r="E77" s="88"/>
      <c r="F77" s="57"/>
      <c r="G77" s="57"/>
      <c r="H77" s="57"/>
      <c r="I77" s="57"/>
      <c r="J77" s="57"/>
    </row>
    <row r="78" spans="1:10" x14ac:dyDescent="0.2">
      <c r="A78" s="65"/>
      <c r="B78" s="57"/>
      <c r="C78" s="57"/>
      <c r="D78" s="57"/>
      <c r="E78" s="57"/>
      <c r="F78" s="57"/>
      <c r="G78" s="57"/>
      <c r="H78" s="57"/>
      <c r="I78" s="57"/>
      <c r="J78" s="57"/>
    </row>
    <row r="79" spans="1:10" x14ac:dyDescent="0.2">
      <c r="A79" s="65"/>
      <c r="B79" s="68" t="s">
        <v>123</v>
      </c>
      <c r="C79" s="57"/>
      <c r="D79" s="57"/>
      <c r="E79" s="57"/>
      <c r="F79" s="57"/>
      <c r="G79" s="57"/>
      <c r="H79" s="57"/>
      <c r="I79" s="57"/>
      <c r="J79" s="57"/>
    </row>
    <row r="80" spans="1:10" x14ac:dyDescent="0.2">
      <c r="A80" s="65"/>
      <c r="B80" s="68"/>
      <c r="C80" s="68" t="s">
        <v>124</v>
      </c>
      <c r="D80" s="57"/>
      <c r="E80" s="57"/>
      <c r="F80" s="57"/>
      <c r="G80" s="57"/>
      <c r="H80" s="57"/>
      <c r="I80" s="57"/>
      <c r="J80" s="57"/>
    </row>
    <row r="81" spans="1:12" x14ac:dyDescent="0.2">
      <c r="A81" s="65"/>
      <c r="B81" s="68"/>
      <c r="C81" s="57"/>
      <c r="D81" s="57"/>
      <c r="E81" s="57"/>
      <c r="F81" s="57"/>
      <c r="G81" s="57"/>
      <c r="H81" s="57"/>
      <c r="I81" s="57"/>
      <c r="J81" s="65" t="s">
        <v>125</v>
      </c>
    </row>
    <row r="82" spans="1:12" x14ac:dyDescent="0.2">
      <c r="A82" s="65"/>
      <c r="B82" s="57"/>
      <c r="C82" s="57"/>
      <c r="D82" s="57"/>
      <c r="E82" s="101" t="s">
        <v>126</v>
      </c>
      <c r="F82" s="102" t="s">
        <v>109</v>
      </c>
      <c r="G82" s="101" t="s">
        <v>127</v>
      </c>
      <c r="H82" s="101" t="s">
        <v>128</v>
      </c>
      <c r="I82" s="57"/>
      <c r="J82" s="101" t="s">
        <v>129</v>
      </c>
    </row>
    <row r="83" spans="1:12" x14ac:dyDescent="0.2">
      <c r="B83" s="103" t="s">
        <v>130</v>
      </c>
      <c r="C83" s="68" t="s">
        <v>131</v>
      </c>
      <c r="D83" s="57"/>
      <c r="E83" s="104">
        <v>9.8000000000000004E-2</v>
      </c>
      <c r="F83" s="57" t="s">
        <v>748</v>
      </c>
      <c r="G83" s="105" t="s">
        <v>132</v>
      </c>
      <c r="H83" s="106" t="s">
        <v>133</v>
      </c>
      <c r="I83" s="68"/>
      <c r="J83" s="107">
        <v>366</v>
      </c>
      <c r="K83" s="68"/>
      <c r="L83" s="68"/>
    </row>
    <row r="84" spans="1:12" x14ac:dyDescent="0.2">
      <c r="B84" s="103" t="s">
        <v>134</v>
      </c>
      <c r="C84" s="68" t="s">
        <v>135</v>
      </c>
      <c r="D84" s="57"/>
      <c r="E84" s="108">
        <v>9.8000000000000004E-2</v>
      </c>
      <c r="F84" s="109" t="s">
        <v>136</v>
      </c>
      <c r="G84" s="106" t="s">
        <v>137</v>
      </c>
      <c r="H84" s="106" t="s">
        <v>137</v>
      </c>
      <c r="I84" s="68"/>
      <c r="J84" s="107">
        <v>0</v>
      </c>
      <c r="K84" s="68"/>
      <c r="L84" s="68"/>
    </row>
    <row r="85" spans="1:12" x14ac:dyDescent="0.2">
      <c r="B85" s="103" t="s">
        <v>138</v>
      </c>
      <c r="C85" s="68"/>
      <c r="D85" s="57"/>
      <c r="E85" s="110"/>
      <c r="F85" s="109"/>
      <c r="G85" s="111"/>
      <c r="H85" s="111"/>
      <c r="I85" s="91" t="s">
        <v>139</v>
      </c>
      <c r="J85" s="68">
        <f>SUM(J83:J84)</f>
        <v>366</v>
      </c>
      <c r="K85" s="68"/>
      <c r="L85" s="68"/>
    </row>
    <row r="86" spans="1:12" x14ac:dyDescent="0.2">
      <c r="A86" s="57"/>
      <c r="B86" s="103" t="s">
        <v>140</v>
      </c>
      <c r="C86" s="68" t="s">
        <v>141</v>
      </c>
      <c r="D86" s="57"/>
      <c r="E86" s="104">
        <f>((E83*J83) + (E84* J84)) / J85</f>
        <v>9.8000000000000004E-2</v>
      </c>
      <c r="F86" s="68" t="s">
        <v>142</v>
      </c>
      <c r="G86" s="57"/>
      <c r="H86" s="68"/>
      <c r="I86" s="68"/>
      <c r="J86" s="68"/>
      <c r="K86" s="68"/>
      <c r="L86" s="68"/>
    </row>
    <row r="87" spans="1:12" x14ac:dyDescent="0.2">
      <c r="A87" s="65"/>
      <c r="B87" s="68"/>
      <c r="C87" s="57"/>
      <c r="D87" s="57"/>
      <c r="E87" s="57"/>
      <c r="F87" s="57"/>
      <c r="G87" s="57"/>
      <c r="H87" s="68"/>
      <c r="I87" s="68"/>
      <c r="J87" s="68"/>
      <c r="K87" s="68"/>
      <c r="L87" s="68"/>
    </row>
    <row r="88" spans="1:12" x14ac:dyDescent="0.2">
      <c r="A88" s="65"/>
      <c r="B88" s="68" t="s">
        <v>143</v>
      </c>
      <c r="C88" s="57"/>
      <c r="D88" s="57"/>
      <c r="E88" s="57"/>
      <c r="F88" s="57"/>
      <c r="G88" s="57"/>
      <c r="H88" s="68"/>
      <c r="I88" s="68"/>
      <c r="J88" s="68"/>
      <c r="K88" s="68"/>
      <c r="L88" s="68"/>
    </row>
    <row r="89" spans="1:12" x14ac:dyDescent="0.2">
      <c r="A89" s="65"/>
      <c r="B89" s="68"/>
      <c r="C89" s="57"/>
      <c r="D89" s="57"/>
      <c r="E89" s="102" t="s">
        <v>109</v>
      </c>
      <c r="F89" s="57"/>
      <c r="G89" s="57"/>
      <c r="H89" s="68"/>
      <c r="I89" s="68"/>
      <c r="J89" s="68"/>
      <c r="K89" s="68"/>
      <c r="L89" s="68"/>
    </row>
    <row r="90" spans="1:12" x14ac:dyDescent="0.2">
      <c r="A90" s="57"/>
      <c r="B90" s="103" t="s">
        <v>144</v>
      </c>
      <c r="C90" s="68" t="s">
        <v>145</v>
      </c>
      <c r="D90" s="57"/>
      <c r="E90" s="112" t="s">
        <v>146</v>
      </c>
      <c r="F90" s="112"/>
      <c r="G90" s="112"/>
      <c r="H90" s="107"/>
      <c r="I90" s="107"/>
      <c r="J90" s="107"/>
      <c r="K90" s="68"/>
      <c r="L90" s="68"/>
    </row>
    <row r="91" spans="1:12" x14ac:dyDescent="0.2">
      <c r="B91" s="103" t="s">
        <v>147</v>
      </c>
      <c r="C91" s="68" t="s">
        <v>148</v>
      </c>
      <c r="D91" s="57"/>
      <c r="E91" s="112" t="s">
        <v>146</v>
      </c>
      <c r="F91" s="112"/>
      <c r="G91" s="112"/>
      <c r="H91" s="107"/>
      <c r="I91" s="107"/>
      <c r="J91" s="107"/>
      <c r="K91" s="68"/>
      <c r="L91" s="68"/>
    </row>
    <row r="92" spans="1:12" x14ac:dyDescent="0.2">
      <c r="B92" s="57"/>
      <c r="C92" s="68"/>
      <c r="D92" s="57"/>
      <c r="E92" s="111"/>
      <c r="F92" s="57"/>
      <c r="G92" s="57"/>
      <c r="H92" s="57"/>
      <c r="I92" s="68"/>
      <c r="J92" s="68"/>
      <c r="K92" s="68"/>
      <c r="L92" s="68"/>
    </row>
    <row r="93" spans="1:12" x14ac:dyDescent="0.2">
      <c r="B93" s="57"/>
      <c r="C93" s="57"/>
      <c r="D93" s="57"/>
      <c r="E93" s="101" t="s">
        <v>126</v>
      </c>
      <c r="F93" s="102" t="s">
        <v>109</v>
      </c>
      <c r="G93" s="57"/>
      <c r="H93" s="68"/>
      <c r="I93" s="68"/>
      <c r="J93" s="57"/>
    </row>
    <row r="94" spans="1:12" x14ac:dyDescent="0.2">
      <c r="B94" s="103" t="s">
        <v>149</v>
      </c>
      <c r="C94" s="68" t="s">
        <v>150</v>
      </c>
      <c r="D94" s="68"/>
      <c r="E94" s="113">
        <v>2.4045192271003935E-2</v>
      </c>
      <c r="F94" s="57" t="s">
        <v>749</v>
      </c>
      <c r="G94" s="57"/>
      <c r="H94" s="68"/>
      <c r="I94" s="68"/>
      <c r="J94" s="57"/>
    </row>
    <row r="95" spans="1:12" x14ac:dyDescent="0.2">
      <c r="B95" s="103" t="s">
        <v>151</v>
      </c>
      <c r="C95" s="68" t="s">
        <v>152</v>
      </c>
      <c r="D95" s="57"/>
      <c r="E95" s="113">
        <v>4.7288960950770823E-3</v>
      </c>
      <c r="F95" s="57" t="s">
        <v>750</v>
      </c>
      <c r="G95" s="57"/>
      <c r="H95" s="68"/>
      <c r="I95" s="68"/>
      <c r="J95" s="57"/>
    </row>
    <row r="96" spans="1:12" x14ac:dyDescent="0.2">
      <c r="B96" s="103" t="s">
        <v>153</v>
      </c>
      <c r="C96" s="68" t="s">
        <v>154</v>
      </c>
      <c r="D96" s="57"/>
      <c r="E96" s="114">
        <v>4.6165268734087883E-2</v>
      </c>
      <c r="F96" s="57" t="s">
        <v>751</v>
      </c>
      <c r="G96" s="68"/>
      <c r="H96" s="68"/>
      <c r="I96" s="57"/>
      <c r="J96" s="57"/>
    </row>
    <row r="97" spans="1:10" x14ac:dyDescent="0.2">
      <c r="A97" s="57"/>
      <c r="B97" s="65" t="s">
        <v>155</v>
      </c>
      <c r="C97" s="70" t="s">
        <v>81</v>
      </c>
      <c r="D97" s="57"/>
      <c r="E97" s="115">
        <f>SUM(E94:E96)</f>
        <v>7.4939357100168899E-2</v>
      </c>
      <c r="F97" s="88" t="str">
        <f>"Sum of Lines "&amp;B91&amp;" to "&amp;B95&amp;""</f>
        <v>Sum of Lines f to h</v>
      </c>
      <c r="G97" s="116"/>
      <c r="H97" s="57"/>
      <c r="I97" s="57"/>
      <c r="J97" s="117"/>
    </row>
    <row r="98" spans="1:10" x14ac:dyDescent="0.2">
      <c r="A98" s="65"/>
      <c r="B98" s="57"/>
      <c r="C98" s="118"/>
      <c r="D98" s="119"/>
      <c r="E98" s="88"/>
      <c r="F98" s="88"/>
      <c r="G98" s="116"/>
      <c r="H98" s="88"/>
      <c r="I98" s="57"/>
      <c r="J98" s="117"/>
    </row>
    <row r="99" spans="1:10" x14ac:dyDescent="0.2">
      <c r="A99" s="65"/>
      <c r="B99" s="68" t="s">
        <v>156</v>
      </c>
      <c r="C99" s="57"/>
      <c r="D99" s="57"/>
      <c r="E99" s="57"/>
      <c r="F99" s="57"/>
      <c r="G99" s="57"/>
      <c r="H99" s="57"/>
      <c r="I99" s="57"/>
      <c r="J99" s="57"/>
    </row>
    <row r="100" spans="1:10" x14ac:dyDescent="0.2">
      <c r="A100" s="65"/>
      <c r="B100" s="57"/>
      <c r="C100" s="57"/>
      <c r="D100" s="57"/>
      <c r="E100" s="57"/>
      <c r="F100" s="57"/>
      <c r="G100" s="57"/>
      <c r="H100" s="57"/>
      <c r="I100" s="57"/>
      <c r="J100" s="57"/>
    </row>
    <row r="101" spans="1:10" x14ac:dyDescent="0.2">
      <c r="A101" s="65"/>
      <c r="B101" s="57"/>
      <c r="C101" s="57"/>
      <c r="D101" s="57"/>
      <c r="E101" s="101" t="s">
        <v>126</v>
      </c>
      <c r="F101" s="102" t="s">
        <v>109</v>
      </c>
      <c r="G101" s="57"/>
      <c r="H101" s="57"/>
      <c r="I101" s="57"/>
      <c r="J101" s="57"/>
    </row>
    <row r="102" spans="1:10" x14ac:dyDescent="0.2">
      <c r="A102" s="57"/>
      <c r="B102" s="103" t="s">
        <v>157</v>
      </c>
      <c r="C102" s="57"/>
      <c r="D102" s="57"/>
      <c r="E102" s="113">
        <f>E95+E96</f>
        <v>5.0894164829164965E-2</v>
      </c>
      <c r="F102" s="88" t="str">
        <f>"Sum of Lines "&amp;B94&amp;" to "&amp;B95&amp;""</f>
        <v>Sum of Lines g to h</v>
      </c>
      <c r="G102" s="57"/>
      <c r="H102" s="57"/>
      <c r="I102" s="57"/>
      <c r="J102" s="57"/>
    </row>
    <row r="103" spans="1:10" x14ac:dyDescent="0.2">
      <c r="A103" s="65"/>
      <c r="B103" s="57"/>
      <c r="C103" s="57"/>
      <c r="D103" s="57"/>
      <c r="E103" s="113"/>
      <c r="F103" s="88"/>
      <c r="G103" s="57"/>
      <c r="H103" s="57"/>
      <c r="I103" s="57"/>
      <c r="J103" s="57"/>
    </row>
    <row r="104" spans="1:10" x14ac:dyDescent="0.2">
      <c r="A104" s="65"/>
      <c r="B104" s="66" t="s">
        <v>158</v>
      </c>
      <c r="C104" s="57"/>
      <c r="D104" s="57"/>
      <c r="E104" s="116"/>
      <c r="F104" s="116"/>
      <c r="G104" s="116"/>
      <c r="H104" s="88"/>
      <c r="I104" s="57"/>
      <c r="J104" s="57"/>
    </row>
    <row r="105" spans="1:10" x14ac:dyDescent="0.2">
      <c r="A105" s="65"/>
      <c r="B105" s="109" t="s">
        <v>159</v>
      </c>
      <c r="C105" s="57"/>
      <c r="D105" s="57"/>
      <c r="E105" s="57"/>
      <c r="F105" s="57"/>
      <c r="G105" s="57"/>
      <c r="H105" s="57"/>
      <c r="I105" s="57"/>
      <c r="J105" s="57"/>
    </row>
    <row r="106" spans="1:10" x14ac:dyDescent="0.2">
      <c r="A106" s="60"/>
      <c r="B106" s="109" t="s">
        <v>160</v>
      </c>
      <c r="C106" s="57"/>
      <c r="D106" s="65"/>
      <c r="E106" s="65"/>
      <c r="F106" s="65"/>
      <c r="G106" s="65"/>
      <c r="H106" s="65"/>
      <c r="I106" s="57"/>
      <c r="J106" s="57"/>
    </row>
    <row r="107" spans="1:10" x14ac:dyDescent="0.2">
      <c r="A107" s="60"/>
      <c r="B107" s="66" t="s">
        <v>161</v>
      </c>
      <c r="C107" s="57"/>
      <c r="D107" s="65"/>
      <c r="E107" s="65"/>
      <c r="F107" s="65"/>
      <c r="G107" s="65"/>
      <c r="H107" s="65"/>
      <c r="I107" s="57"/>
      <c r="J107" s="57"/>
    </row>
    <row r="108" spans="1:10" x14ac:dyDescent="0.2">
      <c r="A108" s="60"/>
      <c r="B108" s="57" t="s">
        <v>162</v>
      </c>
      <c r="C108" s="120"/>
      <c r="D108" s="120"/>
      <c r="E108" s="101"/>
      <c r="F108" s="101"/>
      <c r="G108" s="101"/>
      <c r="H108" s="101"/>
      <c r="I108" s="57"/>
      <c r="J108" s="57"/>
    </row>
    <row r="109" spans="1:10" x14ac:dyDescent="0.2">
      <c r="A109" s="60"/>
    </row>
    <row r="110" spans="1:10" x14ac:dyDescent="0.2">
      <c r="A110" s="60"/>
    </row>
    <row r="111" spans="1:10" x14ac:dyDescent="0.2">
      <c r="A111" s="60"/>
    </row>
    <row r="112" spans="1:10" x14ac:dyDescent="0.2">
      <c r="A112" s="60"/>
      <c r="C112" s="118"/>
      <c r="E112" s="88"/>
      <c r="F112" s="88"/>
      <c r="H112" s="121"/>
      <c r="J112" s="122"/>
    </row>
    <row r="113" spans="1:10" x14ac:dyDescent="0.2">
      <c r="A113" s="60"/>
      <c r="C113" s="118"/>
      <c r="E113" s="88"/>
      <c r="F113" s="88"/>
      <c r="H113" s="121"/>
      <c r="J113" s="122"/>
    </row>
    <row r="114" spans="1:10" x14ac:dyDescent="0.2">
      <c r="A114" s="61"/>
      <c r="C114" s="118"/>
      <c r="E114" s="88"/>
      <c r="F114" s="88"/>
      <c r="H114" s="121"/>
      <c r="J114" s="122"/>
    </row>
    <row r="115" spans="1:10" x14ac:dyDescent="0.2">
      <c r="A115" s="60"/>
      <c r="D115" s="123"/>
      <c r="E115" s="88"/>
      <c r="F115" s="88"/>
      <c r="G115" s="124"/>
      <c r="H115" s="121"/>
      <c r="J115" s="122"/>
    </row>
    <row r="116" spans="1:10" x14ac:dyDescent="0.2">
      <c r="A116" s="60"/>
      <c r="C116" s="118"/>
      <c r="D116" s="125"/>
      <c r="E116" s="126"/>
      <c r="F116" s="121"/>
      <c r="G116" s="124"/>
      <c r="H116" s="121"/>
      <c r="J116" s="122"/>
    </row>
    <row r="117" spans="1:10" x14ac:dyDescent="0.2">
      <c r="A117" s="60"/>
      <c r="C117" s="118"/>
      <c r="D117" s="125"/>
      <c r="E117" s="121"/>
      <c r="F117" s="121"/>
      <c r="G117" s="124"/>
      <c r="H117" s="121"/>
      <c r="J117" s="122"/>
    </row>
    <row r="118" spans="1:10" x14ac:dyDescent="0.2">
      <c r="A118" s="60"/>
    </row>
    <row r="119" spans="1:10" x14ac:dyDescent="0.2">
      <c r="A119" s="60"/>
      <c r="B119" s="56"/>
    </row>
    <row r="120" spans="1:10" x14ac:dyDescent="0.2">
      <c r="A120" s="60"/>
    </row>
    <row r="121" spans="1:10" x14ac:dyDescent="0.2">
      <c r="A121" s="60"/>
    </row>
    <row r="122" spans="1:10" x14ac:dyDescent="0.2">
      <c r="A122" s="60"/>
      <c r="F122" s="60"/>
    </row>
    <row r="123" spans="1:10" x14ac:dyDescent="0.2">
      <c r="A123" s="60"/>
      <c r="F123" s="60"/>
    </row>
    <row r="124" spans="1:10" x14ac:dyDescent="0.2">
      <c r="A124" s="60"/>
      <c r="D124" s="60"/>
      <c r="E124" s="60"/>
      <c r="F124" s="60"/>
      <c r="H124" s="60"/>
    </row>
    <row r="125" spans="1:10" x14ac:dyDescent="0.2">
      <c r="A125" s="60"/>
      <c r="D125" s="60"/>
      <c r="E125" s="60"/>
      <c r="F125" s="60"/>
      <c r="G125" s="60"/>
      <c r="H125" s="127"/>
    </row>
    <row r="126" spans="1:10" x14ac:dyDescent="0.2">
      <c r="A126" s="61"/>
      <c r="C126" s="128"/>
      <c r="D126" s="128"/>
      <c r="E126" s="64"/>
      <c r="F126" s="129"/>
      <c r="G126" s="64"/>
      <c r="H126" s="127"/>
    </row>
    <row r="127" spans="1:10" x14ac:dyDescent="0.2">
      <c r="A127" s="60"/>
      <c r="C127" s="130"/>
      <c r="D127" s="119"/>
      <c r="E127" s="88"/>
      <c r="F127" s="88"/>
      <c r="G127" s="104"/>
      <c r="H127" s="121"/>
    </row>
    <row r="128" spans="1:10" x14ac:dyDescent="0.2">
      <c r="A128" s="60"/>
      <c r="C128" s="118"/>
      <c r="D128" s="119"/>
      <c r="E128" s="88"/>
      <c r="F128" s="88"/>
      <c r="G128" s="104"/>
      <c r="H128" s="121"/>
    </row>
    <row r="129" spans="1:8" x14ac:dyDescent="0.2">
      <c r="A129" s="60"/>
      <c r="C129" s="118"/>
      <c r="D129" s="119"/>
      <c r="E129" s="88"/>
      <c r="F129" s="88"/>
      <c r="G129" s="104"/>
      <c r="H129" s="121"/>
    </row>
    <row r="130" spans="1:8" x14ac:dyDescent="0.2">
      <c r="A130" s="60"/>
      <c r="C130" s="130"/>
      <c r="D130" s="119"/>
      <c r="E130" s="88"/>
      <c r="F130" s="88"/>
      <c r="G130" s="104"/>
      <c r="H130" s="121"/>
    </row>
    <row r="131" spans="1:8" x14ac:dyDescent="0.2">
      <c r="A131" s="60"/>
      <c r="C131" s="118"/>
      <c r="D131" s="119"/>
      <c r="E131" s="88"/>
      <c r="F131" s="88"/>
      <c r="G131" s="104"/>
      <c r="H131" s="121"/>
    </row>
    <row r="132" spans="1:8" x14ac:dyDescent="0.2">
      <c r="A132" s="60"/>
      <c r="C132" s="118"/>
      <c r="D132" s="119"/>
      <c r="E132" s="88"/>
      <c r="F132" s="88"/>
      <c r="G132" s="104"/>
      <c r="H132" s="121"/>
    </row>
    <row r="133" spans="1:8" x14ac:dyDescent="0.2">
      <c r="A133" s="60"/>
      <c r="C133" s="130"/>
      <c r="D133" s="119"/>
      <c r="E133" s="88"/>
      <c r="F133" s="88"/>
      <c r="G133" s="104"/>
      <c r="H133" s="121"/>
    </row>
    <row r="134" spans="1:8" x14ac:dyDescent="0.2">
      <c r="A134" s="60"/>
      <c r="C134" s="118"/>
      <c r="D134" s="119"/>
      <c r="E134" s="88"/>
      <c r="F134" s="88"/>
      <c r="G134" s="104"/>
      <c r="H134" s="121"/>
    </row>
    <row r="135" spans="1:8" x14ac:dyDescent="0.2">
      <c r="A135" s="60"/>
      <c r="C135" s="118"/>
      <c r="D135" s="119"/>
      <c r="E135" s="88"/>
      <c r="F135" s="88"/>
      <c r="G135" s="104"/>
      <c r="H135" s="121"/>
    </row>
    <row r="136" spans="1:8" x14ac:dyDescent="0.2">
      <c r="A136" s="60"/>
      <c r="C136" s="130"/>
      <c r="D136" s="119"/>
      <c r="E136" s="88"/>
      <c r="F136" s="88"/>
      <c r="G136" s="104"/>
      <c r="H136" s="121"/>
    </row>
    <row r="137" spans="1:8" x14ac:dyDescent="0.2">
      <c r="A137" s="60"/>
      <c r="C137" s="130"/>
      <c r="D137" s="119"/>
      <c r="E137" s="88"/>
      <c r="F137" s="88"/>
      <c r="G137" s="104"/>
      <c r="H137" s="121"/>
    </row>
    <row r="138" spans="1:8" x14ac:dyDescent="0.2">
      <c r="A138" s="60"/>
      <c r="C138" s="118"/>
      <c r="D138" s="119"/>
      <c r="E138" s="88"/>
      <c r="F138" s="88"/>
      <c r="G138" s="104"/>
      <c r="H138" s="126"/>
    </row>
    <row r="139" spans="1:8" x14ac:dyDescent="0.2">
      <c r="A139" s="60"/>
      <c r="E139" s="57"/>
      <c r="F139" s="57"/>
      <c r="G139" s="57"/>
      <c r="H139" s="121"/>
    </row>
    <row r="140" spans="1:8" x14ac:dyDescent="0.2">
      <c r="A140" s="60"/>
      <c r="C140" s="118"/>
      <c r="D140" s="119"/>
      <c r="E140" s="57"/>
      <c r="F140" s="131"/>
      <c r="G140" s="104"/>
      <c r="H140" s="132"/>
    </row>
    <row r="141" spans="1:8" x14ac:dyDescent="0.2">
      <c r="A141" s="60"/>
      <c r="B141" s="56"/>
      <c r="C141" s="118"/>
      <c r="D141" s="119"/>
      <c r="E141" s="57"/>
      <c r="F141" s="131"/>
      <c r="G141" s="104"/>
      <c r="H141" s="132"/>
    </row>
    <row r="142" spans="1:8" x14ac:dyDescent="0.2">
      <c r="A142" s="61"/>
      <c r="B142" s="56"/>
      <c r="C142" s="118"/>
      <c r="D142" s="119"/>
      <c r="E142" s="57"/>
      <c r="F142" s="131"/>
      <c r="G142" s="104"/>
      <c r="H142" s="132"/>
    </row>
    <row r="143" spans="1:8" x14ac:dyDescent="0.2">
      <c r="A143" s="60"/>
      <c r="C143" s="118"/>
      <c r="D143" s="133"/>
      <c r="E143" s="88"/>
      <c r="F143" s="134"/>
      <c r="G143" s="104"/>
      <c r="H143" s="132"/>
    </row>
    <row r="144" spans="1:8" x14ac:dyDescent="0.2">
      <c r="A144" s="60"/>
      <c r="C144" s="118"/>
      <c r="D144" s="135"/>
      <c r="E144" s="88"/>
      <c r="F144" s="134"/>
      <c r="G144" s="104"/>
      <c r="H144" s="132"/>
    </row>
    <row r="145" spans="1:10" x14ac:dyDescent="0.2">
      <c r="A145" s="60"/>
      <c r="C145" s="118"/>
      <c r="D145" s="135"/>
      <c r="E145" s="126"/>
      <c r="F145" s="136"/>
      <c r="G145" s="104"/>
      <c r="H145" s="132"/>
    </row>
    <row r="146" spans="1:10" x14ac:dyDescent="0.2">
      <c r="A146" s="60"/>
      <c r="C146" s="118"/>
      <c r="D146" s="133"/>
      <c r="E146" s="121"/>
      <c r="F146" s="132"/>
      <c r="G146" s="104"/>
      <c r="H146" s="132"/>
    </row>
    <row r="147" spans="1:10" x14ac:dyDescent="0.2">
      <c r="A147" s="60"/>
      <c r="C147" s="118"/>
      <c r="D147" s="119"/>
      <c r="F147" s="132"/>
      <c r="G147" s="104"/>
      <c r="H147" s="132"/>
    </row>
    <row r="148" spans="1:10" x14ac:dyDescent="0.2">
      <c r="A148" s="60"/>
    </row>
    <row r="149" spans="1:10" x14ac:dyDescent="0.2">
      <c r="A149" s="60"/>
    </row>
    <row r="150" spans="1:10" x14ac:dyDescent="0.2">
      <c r="A150" s="60"/>
    </row>
    <row r="151" spans="1:10" x14ac:dyDescent="0.2">
      <c r="A151" s="60"/>
      <c r="B151" s="56"/>
    </row>
    <row r="152" spans="1:10" x14ac:dyDescent="0.2">
      <c r="A152" s="60"/>
      <c r="B152" s="124"/>
    </row>
    <row r="153" spans="1:10" x14ac:dyDescent="0.2">
      <c r="A153" s="60"/>
      <c r="B153" s="124"/>
    </row>
    <row r="154" spans="1:10" x14ac:dyDescent="0.2">
      <c r="A154" s="60"/>
      <c r="B154" s="124"/>
    </row>
    <row r="155" spans="1:10" x14ac:dyDescent="0.2">
      <c r="A155" s="60"/>
    </row>
    <row r="156" spans="1:10" x14ac:dyDescent="0.2">
      <c r="A156" s="60"/>
      <c r="B156" s="56"/>
    </row>
    <row r="157" spans="1:10" x14ac:dyDescent="0.2">
      <c r="A157" s="60"/>
    </row>
    <row r="158" spans="1:10" x14ac:dyDescent="0.2">
      <c r="A158" s="61"/>
      <c r="C158" s="128"/>
      <c r="D158" s="64"/>
      <c r="G158" s="57"/>
      <c r="H158" s="57"/>
      <c r="I158" s="57"/>
      <c r="J158" s="57"/>
    </row>
    <row r="159" spans="1:10" x14ac:dyDescent="0.2">
      <c r="A159" s="60"/>
      <c r="C159" s="130"/>
      <c r="D159" s="137"/>
      <c r="F159" s="138"/>
      <c r="G159" s="57"/>
      <c r="H159" s="57"/>
      <c r="I159" s="57"/>
      <c r="J159" s="57"/>
    </row>
    <row r="160" spans="1:10" x14ac:dyDescent="0.2">
      <c r="A160" s="60"/>
      <c r="C160" s="118"/>
      <c r="D160" s="137"/>
      <c r="F160" s="138"/>
      <c r="G160" s="57"/>
      <c r="H160" s="57"/>
      <c r="I160" s="57"/>
      <c r="J160" s="57"/>
    </row>
    <row r="161" spans="1:10" x14ac:dyDescent="0.2">
      <c r="A161" s="60"/>
      <c r="C161" s="118"/>
      <c r="D161" s="137"/>
      <c r="F161" s="138"/>
      <c r="G161" s="57"/>
      <c r="H161" s="57"/>
      <c r="I161" s="57"/>
      <c r="J161" s="57"/>
    </row>
    <row r="162" spans="1:10" x14ac:dyDescent="0.2">
      <c r="A162" s="60"/>
      <c r="C162" s="130"/>
      <c r="D162" s="137"/>
      <c r="F162" s="138"/>
      <c r="G162" s="57"/>
      <c r="H162" s="57"/>
      <c r="I162" s="57"/>
      <c r="J162" s="57"/>
    </row>
    <row r="163" spans="1:10" x14ac:dyDescent="0.2">
      <c r="A163" s="60"/>
      <c r="C163" s="118"/>
      <c r="D163" s="137"/>
      <c r="F163" s="138"/>
      <c r="G163" s="57"/>
      <c r="H163" s="57"/>
      <c r="I163" s="57"/>
      <c r="J163" s="57"/>
    </row>
    <row r="164" spans="1:10" x14ac:dyDescent="0.2">
      <c r="A164" s="60"/>
      <c r="C164" s="118"/>
      <c r="D164" s="137"/>
      <c r="F164" s="138"/>
      <c r="G164" s="57"/>
      <c r="H164" s="57"/>
      <c r="I164" s="57"/>
      <c r="J164" s="57"/>
    </row>
    <row r="165" spans="1:10" x14ac:dyDescent="0.2">
      <c r="A165" s="60"/>
      <c r="C165" s="130"/>
      <c r="D165" s="137"/>
      <c r="F165" s="138"/>
      <c r="G165" s="57"/>
      <c r="H165" s="57"/>
      <c r="I165" s="57"/>
      <c r="J165" s="57"/>
    </row>
    <row r="166" spans="1:10" x14ac:dyDescent="0.2">
      <c r="A166" s="60"/>
      <c r="C166" s="118"/>
      <c r="D166" s="137"/>
      <c r="F166" s="138"/>
      <c r="G166" s="57"/>
      <c r="H166" s="57"/>
      <c r="I166" s="57"/>
      <c r="J166" s="57"/>
    </row>
    <row r="167" spans="1:10" x14ac:dyDescent="0.2">
      <c r="A167" s="60"/>
      <c r="C167" s="118"/>
      <c r="D167" s="137"/>
      <c r="F167" s="138"/>
      <c r="G167" s="57"/>
      <c r="H167" s="57"/>
      <c r="I167" s="57"/>
      <c r="J167" s="57"/>
    </row>
    <row r="168" spans="1:10" x14ac:dyDescent="0.2">
      <c r="A168" s="60"/>
      <c r="C168" s="130"/>
      <c r="D168" s="137"/>
      <c r="F168" s="138"/>
      <c r="G168" s="57"/>
      <c r="H168" s="57"/>
      <c r="I168" s="57"/>
      <c r="J168" s="57"/>
    </row>
    <row r="169" spans="1:10" x14ac:dyDescent="0.2">
      <c r="A169" s="60"/>
      <c r="C169" s="130"/>
      <c r="D169" s="137"/>
      <c r="F169" s="138"/>
    </row>
    <row r="170" spans="1:10" x14ac:dyDescent="0.2">
      <c r="A170" s="60"/>
      <c r="C170" s="118"/>
      <c r="D170" s="139"/>
      <c r="F170" s="140"/>
    </row>
    <row r="171" spans="1:10" x14ac:dyDescent="0.2">
      <c r="A171" s="60"/>
      <c r="C171" s="123"/>
      <c r="D171" s="137"/>
    </row>
  </sheetData>
  <pageMargins left="0.75" right="0.75" top="1" bottom="1" header="0.5" footer="0.5"/>
  <pageSetup scale="80" orientation="landscape" cellComments="asDisplayed" r:id="rId1"/>
  <headerFooter alignWithMargins="0">
    <oddHeader>&amp;CSchedule 4
True Up TRR
(Revised 2012 True Up TRR)
&amp;RTO10 Draft Annual Update
Attachment 4
WP-Schedule 3-One Time Adj &amp; True Up Adj
Page &amp;P of &amp;N</oddHeader>
    <oddFooter>&amp;R&amp;A</oddFooter>
  </headerFooter>
  <rowBreaks count="4" manualBreakCount="4">
    <brk id="46" max="9" man="1"/>
    <brk id="72" max="16383" man="1"/>
    <brk id="118" max="9" man="1"/>
    <brk id="1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L201"/>
  <sheetViews>
    <sheetView zoomScaleNormal="100" workbookViewId="0"/>
  </sheetViews>
  <sheetFormatPr defaultRowHeight="12.75" x14ac:dyDescent="0.2"/>
  <cols>
    <col min="1" max="1" width="4.7109375" customWidth="1"/>
    <col min="2" max="2" width="9.7109375" style="148" customWidth="1"/>
    <col min="3" max="3" width="44.7109375" style="148" customWidth="1"/>
    <col min="4" max="8" width="15.7109375" style="148" customWidth="1"/>
    <col min="9" max="9" width="16.140625" style="148" bestFit="1" customWidth="1"/>
    <col min="10" max="10" width="33.7109375" style="148" customWidth="1"/>
  </cols>
  <sheetData>
    <row r="1" spans="1:12" x14ac:dyDescent="0.2">
      <c r="A1" s="141" t="s">
        <v>163</v>
      </c>
      <c r="B1" s="142"/>
      <c r="C1" s="142"/>
      <c r="D1" s="142"/>
      <c r="E1" s="142"/>
      <c r="F1" s="143" t="s">
        <v>164</v>
      </c>
      <c r="G1" s="143"/>
      <c r="H1" s="142"/>
      <c r="I1" s="144"/>
      <c r="J1" s="144"/>
      <c r="K1" s="78"/>
      <c r="L1" s="78"/>
    </row>
    <row r="2" spans="1:12" x14ac:dyDescent="0.2">
      <c r="A2" s="144"/>
      <c r="B2" s="145"/>
      <c r="C2" s="146"/>
      <c r="D2" s="146"/>
      <c r="E2" s="144"/>
      <c r="F2" s="144"/>
      <c r="G2" s="144"/>
      <c r="H2" s="144"/>
      <c r="I2" s="144"/>
      <c r="J2" s="144"/>
      <c r="K2" s="78"/>
      <c r="L2" s="78"/>
    </row>
    <row r="3" spans="1:12" x14ac:dyDescent="0.2">
      <c r="A3" s="144"/>
      <c r="B3" s="145" t="s">
        <v>165</v>
      </c>
      <c r="C3" s="146"/>
      <c r="D3" s="146"/>
      <c r="E3" s="144"/>
      <c r="F3" s="144"/>
      <c r="G3" s="144"/>
      <c r="H3" s="144"/>
      <c r="I3" s="144"/>
      <c r="J3" s="144"/>
      <c r="K3" s="78"/>
      <c r="L3" s="78"/>
    </row>
    <row r="4" spans="1:12" x14ac:dyDescent="0.2">
      <c r="A4" s="144"/>
      <c r="B4" s="145"/>
      <c r="C4" s="146"/>
      <c r="D4" s="146"/>
      <c r="E4" s="144"/>
      <c r="F4" s="144"/>
      <c r="G4" s="144"/>
      <c r="H4" s="144"/>
      <c r="I4" s="144"/>
      <c r="J4" s="144"/>
      <c r="K4" s="78"/>
      <c r="L4" s="78"/>
    </row>
    <row r="5" spans="1:12" x14ac:dyDescent="0.2">
      <c r="A5" s="144"/>
      <c r="B5" s="147" t="s">
        <v>166</v>
      </c>
      <c r="C5" s="146"/>
      <c r="D5" s="146"/>
      <c r="E5" s="144"/>
      <c r="F5" s="144"/>
      <c r="G5" s="144"/>
      <c r="H5" s="144"/>
      <c r="I5" s="144"/>
      <c r="J5" s="144"/>
      <c r="K5" s="78"/>
      <c r="L5" s="78"/>
    </row>
    <row r="6" spans="1:12" x14ac:dyDescent="0.2">
      <c r="A6" s="144"/>
      <c r="B6" s="145"/>
      <c r="C6" s="129" t="s">
        <v>167</v>
      </c>
      <c r="D6" s="129" t="s">
        <v>168</v>
      </c>
      <c r="E6" s="144"/>
      <c r="I6" s="144"/>
      <c r="J6" s="144"/>
      <c r="K6" s="78"/>
      <c r="L6" s="78"/>
    </row>
    <row r="7" spans="1:12" x14ac:dyDescent="0.2">
      <c r="A7" s="144"/>
      <c r="C7" s="146"/>
      <c r="D7" s="144"/>
      <c r="E7" s="144"/>
      <c r="I7" s="144"/>
      <c r="J7" s="144"/>
      <c r="K7" s="78"/>
      <c r="L7" s="78"/>
    </row>
    <row r="8" spans="1:12" x14ac:dyDescent="0.2">
      <c r="A8" s="144"/>
      <c r="B8" s="145"/>
      <c r="C8" s="142"/>
      <c r="D8" s="65" t="s">
        <v>169</v>
      </c>
      <c r="J8" s="144"/>
      <c r="K8" s="78"/>
      <c r="L8" s="78"/>
    </row>
    <row r="9" spans="1:12" x14ac:dyDescent="0.2">
      <c r="A9" s="61" t="s">
        <v>170</v>
      </c>
      <c r="B9" s="145"/>
      <c r="C9" s="149" t="s">
        <v>171</v>
      </c>
      <c r="D9" s="101" t="s">
        <v>172</v>
      </c>
      <c r="E9" s="150" t="s">
        <v>8</v>
      </c>
      <c r="J9" s="144"/>
      <c r="K9" s="78"/>
      <c r="L9" s="78"/>
    </row>
    <row r="10" spans="1:12" ht="15" x14ac:dyDescent="0.25">
      <c r="A10" s="151">
        <v>1</v>
      </c>
      <c r="B10" s="145"/>
      <c r="C10" s="68" t="s">
        <v>173</v>
      </c>
      <c r="D10" s="85">
        <f>+D77</f>
        <v>7058305.8464004528</v>
      </c>
      <c r="E10" s="70" t="str">
        <f>"Line "&amp;A77&amp;", Col. 2"</f>
        <v>Line 353, Col. 2</v>
      </c>
      <c r="J10" s="144"/>
      <c r="K10" s="78"/>
      <c r="L10" s="78"/>
    </row>
    <row r="11" spans="1:12" x14ac:dyDescent="0.2">
      <c r="A11" s="60">
        <f>A10+1</f>
        <v>2</v>
      </c>
      <c r="B11" s="145"/>
      <c r="C11" s="68" t="s">
        <v>174</v>
      </c>
      <c r="D11" s="152">
        <f>+D100</f>
        <v>-673601260.62423754</v>
      </c>
      <c r="E11" s="70" t="str">
        <f>"Line "&amp;A100&amp;", Col. 2"</f>
        <v>Line 452, Col. 2</v>
      </c>
      <c r="J11" s="144"/>
      <c r="K11" s="78"/>
      <c r="L11" s="78"/>
    </row>
    <row r="12" spans="1:12" x14ac:dyDescent="0.2">
      <c r="A12" s="60">
        <f t="shared" ref="A12:A24" si="0">A11+1</f>
        <v>3</v>
      </c>
      <c r="B12" s="145"/>
      <c r="C12" s="68" t="s">
        <v>175</v>
      </c>
      <c r="D12" s="85">
        <f>+D149</f>
        <v>-15565970.139485067</v>
      </c>
      <c r="E12" s="70" t="str">
        <f>"Line "&amp;A149&amp;", Col. 2"</f>
        <v>Line 803, Col. 2</v>
      </c>
      <c r="I12" s="153"/>
      <c r="J12" s="144"/>
      <c r="K12" s="78"/>
      <c r="L12" s="78"/>
    </row>
    <row r="13" spans="1:12" x14ac:dyDescent="0.2">
      <c r="A13" s="60">
        <f t="shared" si="0"/>
        <v>4</v>
      </c>
      <c r="B13" s="145"/>
      <c r="C13" s="124" t="s">
        <v>176</v>
      </c>
      <c r="D13" s="154">
        <f>G164</f>
        <v>21205278.291963864</v>
      </c>
      <c r="E13" s="70" t="str">
        <f>"Line "&amp;A164&amp;", Col. 5"</f>
        <v>Line 809, Col. 5</v>
      </c>
      <c r="I13" s="153"/>
      <c r="J13" s="144"/>
      <c r="K13" s="78"/>
      <c r="L13" s="78"/>
    </row>
    <row r="14" spans="1:12" x14ac:dyDescent="0.2">
      <c r="A14" s="60">
        <f t="shared" si="0"/>
        <v>5</v>
      </c>
      <c r="B14" s="145"/>
      <c r="C14" s="68" t="s">
        <v>177</v>
      </c>
      <c r="D14" s="85">
        <f t="shared" ref="D14" si="1">SUM(D10:D13)</f>
        <v>-660903646.62535834</v>
      </c>
      <c r="E14" s="155" t="str">
        <f>"Sum of Lines "&amp;A10&amp;" to "&amp;A13&amp;""</f>
        <v>Sum of Lines 1 to 4</v>
      </c>
      <c r="J14" s="144"/>
      <c r="K14" s="78"/>
      <c r="L14" s="78"/>
    </row>
    <row r="15" spans="1:12" x14ac:dyDescent="0.2">
      <c r="A15" s="60">
        <f t="shared" si="0"/>
        <v>6</v>
      </c>
      <c r="B15" s="145"/>
      <c r="D15" s="142"/>
      <c r="E15" s="142"/>
      <c r="G15" s="156"/>
      <c r="H15" s="157"/>
      <c r="I15" s="142"/>
      <c r="J15" s="144"/>
      <c r="K15" s="78"/>
      <c r="L15" s="78"/>
    </row>
    <row r="16" spans="1:12" x14ac:dyDescent="0.2">
      <c r="A16" s="60">
        <f t="shared" si="0"/>
        <v>7</v>
      </c>
      <c r="B16" s="147" t="s">
        <v>178</v>
      </c>
      <c r="E16" s="142"/>
      <c r="G16" s="153"/>
      <c r="H16" s="158"/>
      <c r="I16" s="153"/>
      <c r="J16" s="144"/>
      <c r="K16" s="78"/>
      <c r="L16" s="78"/>
    </row>
    <row r="17" spans="1:12" x14ac:dyDescent="0.2">
      <c r="A17" s="60">
        <f t="shared" si="0"/>
        <v>8</v>
      </c>
      <c r="B17" s="147"/>
      <c r="D17" s="65" t="s">
        <v>179</v>
      </c>
      <c r="E17" s="142"/>
      <c r="G17" s="153"/>
      <c r="H17" s="158"/>
      <c r="I17" s="153"/>
      <c r="J17" s="144"/>
      <c r="K17" s="78"/>
      <c r="L17" s="78"/>
    </row>
    <row r="18" spans="1:12" x14ac:dyDescent="0.2">
      <c r="A18" s="60">
        <f t="shared" si="0"/>
        <v>9</v>
      </c>
      <c r="B18" s="145"/>
      <c r="D18" s="101" t="s">
        <v>172</v>
      </c>
      <c r="E18" s="150" t="s">
        <v>8</v>
      </c>
      <c r="G18" s="159"/>
      <c r="H18" s="153"/>
      <c r="I18" s="153"/>
      <c r="J18" s="144"/>
      <c r="K18" s="78"/>
      <c r="L18" s="78"/>
    </row>
    <row r="19" spans="1:12" x14ac:dyDescent="0.2">
      <c r="A19" s="60">
        <f t="shared" si="0"/>
        <v>10</v>
      </c>
      <c r="B19" s="145"/>
      <c r="C19" s="68" t="s">
        <v>177</v>
      </c>
      <c r="D19" s="160">
        <v>-445502926.49883187</v>
      </c>
      <c r="E19" s="161" t="str">
        <f>"Previous Year Informational Filing, Line "&amp;A14&amp;", Col. 2"</f>
        <v>Previous Year Informational Filing, Line 5, Col. 2</v>
      </c>
      <c r="G19" s="153"/>
      <c r="H19" s="153"/>
      <c r="I19" s="153"/>
      <c r="K19" s="78"/>
      <c r="L19" s="78"/>
    </row>
    <row r="20" spans="1:12" x14ac:dyDescent="0.2">
      <c r="A20" s="60">
        <f t="shared" si="0"/>
        <v>11</v>
      </c>
      <c r="B20" s="145"/>
      <c r="D20" s="142"/>
      <c r="E20" s="142"/>
      <c r="F20" s="153"/>
      <c r="G20" s="153"/>
      <c r="H20" s="153"/>
      <c r="I20" s="153"/>
      <c r="J20" s="144"/>
      <c r="K20" s="78"/>
      <c r="L20" s="78"/>
    </row>
    <row r="21" spans="1:12" x14ac:dyDescent="0.2">
      <c r="A21" s="60">
        <f t="shared" si="0"/>
        <v>12</v>
      </c>
      <c r="B21" s="147" t="s">
        <v>180</v>
      </c>
      <c r="D21" s="142"/>
      <c r="E21" s="142"/>
      <c r="F21" s="153"/>
      <c r="G21" s="153"/>
      <c r="H21" s="153"/>
      <c r="I21" s="153"/>
      <c r="J21" s="144"/>
      <c r="K21" s="78"/>
      <c r="L21" s="78"/>
    </row>
    <row r="22" spans="1:12" x14ac:dyDescent="0.2">
      <c r="A22" s="60">
        <f t="shared" si="0"/>
        <v>13</v>
      </c>
      <c r="B22" s="146"/>
      <c r="C22" s="162"/>
      <c r="D22" s="163" t="s">
        <v>181</v>
      </c>
      <c r="E22" s="144"/>
      <c r="F22" s="144"/>
      <c r="G22" s="144"/>
      <c r="H22" s="144"/>
      <c r="I22" s="144"/>
      <c r="J22" s="144"/>
      <c r="K22" s="78"/>
      <c r="L22" s="78"/>
    </row>
    <row r="23" spans="1:12" x14ac:dyDescent="0.2">
      <c r="A23" s="60">
        <f t="shared" si="0"/>
        <v>14</v>
      </c>
      <c r="B23" s="146"/>
      <c r="D23" s="101" t="s">
        <v>172</v>
      </c>
      <c r="E23" s="150" t="s">
        <v>8</v>
      </c>
      <c r="F23" s="144"/>
      <c r="G23" s="159"/>
      <c r="H23" s="144"/>
      <c r="I23" s="144"/>
      <c r="J23" s="144"/>
      <c r="K23" s="78"/>
      <c r="L23" s="78"/>
    </row>
    <row r="24" spans="1:12" x14ac:dyDescent="0.2">
      <c r="A24" s="60">
        <f t="shared" si="0"/>
        <v>15</v>
      </c>
      <c r="B24" s="146"/>
      <c r="C24" s="164" t="s">
        <v>182</v>
      </c>
      <c r="D24" s="165">
        <f>(D14+D19)/2</f>
        <v>-553203286.56209517</v>
      </c>
      <c r="E24" s="157" t="str">
        <f>"Average of Line "&amp;A14&amp;" and Line "&amp;A19&amp;""</f>
        <v>Average of Line 5 and Line 10</v>
      </c>
      <c r="F24" s="144"/>
      <c r="G24" s="153"/>
      <c r="H24" s="144"/>
      <c r="I24" s="144"/>
      <c r="J24" s="144"/>
      <c r="K24" s="78"/>
      <c r="L24" s="78"/>
    </row>
    <row r="25" spans="1:12" x14ac:dyDescent="0.2">
      <c r="A25" s="60"/>
      <c r="B25" s="146"/>
      <c r="C25" s="162"/>
      <c r="D25" s="166"/>
      <c r="E25" s="144"/>
      <c r="F25" s="144"/>
      <c r="G25" s="144"/>
      <c r="H25" s="144"/>
      <c r="I25" s="144"/>
      <c r="J25" s="144"/>
      <c r="K25" s="78"/>
      <c r="L25" s="78"/>
    </row>
    <row r="26" spans="1:12" x14ac:dyDescent="0.2">
      <c r="A26" s="60"/>
      <c r="B26" s="145" t="s">
        <v>183</v>
      </c>
      <c r="C26" s="162"/>
      <c r="D26" s="166"/>
      <c r="E26" s="144"/>
      <c r="F26" s="144"/>
      <c r="G26" s="144"/>
      <c r="H26" s="144"/>
      <c r="I26" s="144"/>
      <c r="J26" s="144"/>
    </row>
    <row r="27" spans="1:12" x14ac:dyDescent="0.2">
      <c r="A27" s="60"/>
      <c r="B27" s="145"/>
      <c r="C27" s="129" t="s">
        <v>167</v>
      </c>
      <c r="D27" s="129" t="s">
        <v>168</v>
      </c>
      <c r="E27" s="129" t="s">
        <v>184</v>
      </c>
      <c r="F27" s="129" t="s">
        <v>185</v>
      </c>
      <c r="G27" s="129" t="s">
        <v>186</v>
      </c>
      <c r="H27" s="129" t="s">
        <v>187</v>
      </c>
      <c r="I27" s="129" t="s">
        <v>188</v>
      </c>
      <c r="J27" s="144"/>
    </row>
    <row r="28" spans="1:12" x14ac:dyDescent="0.2">
      <c r="A28" s="124"/>
      <c r="B28" s="163"/>
      <c r="C28" s="163"/>
      <c r="D28" s="163" t="s">
        <v>189</v>
      </c>
      <c r="E28" s="163" t="s">
        <v>190</v>
      </c>
      <c r="F28" s="163"/>
      <c r="G28" s="163"/>
      <c r="H28" s="163" t="s">
        <v>191</v>
      </c>
      <c r="I28" s="167" t="s">
        <v>192</v>
      </c>
      <c r="J28" s="144"/>
    </row>
    <row r="29" spans="1:12" x14ac:dyDescent="0.2">
      <c r="A29" s="124"/>
      <c r="B29" s="168" t="s">
        <v>193</v>
      </c>
      <c r="C29" s="168" t="s">
        <v>194</v>
      </c>
      <c r="D29" s="168" t="s">
        <v>195</v>
      </c>
      <c r="E29" s="168" t="s">
        <v>196</v>
      </c>
      <c r="F29" s="168" t="s">
        <v>197</v>
      </c>
      <c r="G29" s="168" t="s">
        <v>198</v>
      </c>
      <c r="H29" s="168" t="s">
        <v>199</v>
      </c>
      <c r="I29" s="168" t="s">
        <v>6</v>
      </c>
      <c r="J29" s="144"/>
    </row>
    <row r="30" spans="1:12" x14ac:dyDescent="0.2">
      <c r="A30" s="60"/>
      <c r="B30" s="146" t="s">
        <v>200</v>
      </c>
      <c r="C30" s="146"/>
      <c r="D30" s="146"/>
      <c r="E30" s="144"/>
      <c r="F30" s="144"/>
      <c r="G30" s="144"/>
      <c r="H30" s="144"/>
      <c r="I30" s="144"/>
      <c r="J30" s="144"/>
    </row>
    <row r="31" spans="1:12" x14ac:dyDescent="0.2">
      <c r="A31" s="169">
        <f>100</f>
        <v>100</v>
      </c>
      <c r="B31" s="170">
        <v>190</v>
      </c>
      <c r="C31" s="171" t="s">
        <v>201</v>
      </c>
      <c r="D31" s="172">
        <v>147354</v>
      </c>
      <c r="E31" s="173">
        <f>$G$193*D31</f>
        <v>118.94832491398876</v>
      </c>
      <c r="F31" s="174"/>
      <c r="G31" s="173">
        <f>D31-E31</f>
        <v>147235.051675086</v>
      </c>
      <c r="H31" s="173"/>
      <c r="I31" s="175" t="s">
        <v>202</v>
      </c>
      <c r="J31" s="143"/>
    </row>
    <row r="32" spans="1:12" x14ac:dyDescent="0.2">
      <c r="A32" s="169">
        <f t="shared" ref="A32:A53" si="2">A31+1</f>
        <v>101</v>
      </c>
      <c r="B32" s="170">
        <v>190</v>
      </c>
      <c r="C32" s="171" t="s">
        <v>203</v>
      </c>
      <c r="D32" s="172">
        <v>1501</v>
      </c>
      <c r="E32" s="173">
        <f>$G$193*D32</f>
        <v>1.2116497393752266</v>
      </c>
      <c r="F32" s="174"/>
      <c r="G32" s="173">
        <f>D32-E32</f>
        <v>1499.7883502606248</v>
      </c>
      <c r="H32" s="173"/>
      <c r="I32" s="175" t="s">
        <v>202</v>
      </c>
      <c r="J32" s="143"/>
    </row>
    <row r="33" spans="1:10" x14ac:dyDescent="0.2">
      <c r="A33" s="169">
        <f t="shared" si="2"/>
        <v>102</v>
      </c>
      <c r="B33" s="170">
        <v>190</v>
      </c>
      <c r="C33" s="171" t="s">
        <v>204</v>
      </c>
      <c r="D33" s="172">
        <v>2900524</v>
      </c>
      <c r="E33" s="173">
        <f>(0.5*($G$185*D33))+(0.5*D33)</f>
        <v>1452339.3859628129</v>
      </c>
      <c r="F33" s="174"/>
      <c r="G33" s="173"/>
      <c r="H33" s="173">
        <f>D33-E33</f>
        <v>1448184.6140371871</v>
      </c>
      <c r="I33" s="175" t="s">
        <v>205</v>
      </c>
      <c r="J33" s="143"/>
    </row>
    <row r="34" spans="1:10" x14ac:dyDescent="0.2">
      <c r="A34" s="169">
        <f t="shared" si="2"/>
        <v>103</v>
      </c>
      <c r="B34" s="170">
        <v>190</v>
      </c>
      <c r="C34" s="171" t="s">
        <v>206</v>
      </c>
      <c r="D34" s="172">
        <v>0</v>
      </c>
      <c r="E34" s="173"/>
      <c r="F34" s="173">
        <v>0</v>
      </c>
      <c r="G34" s="173"/>
      <c r="H34" s="173"/>
      <c r="I34" s="175" t="s">
        <v>207</v>
      </c>
      <c r="J34" s="143"/>
    </row>
    <row r="35" spans="1:10" x14ac:dyDescent="0.2">
      <c r="A35" s="169">
        <f t="shared" si="2"/>
        <v>104</v>
      </c>
      <c r="B35" s="170">
        <v>190</v>
      </c>
      <c r="C35" s="171" t="s">
        <v>208</v>
      </c>
      <c r="D35" s="172">
        <v>0</v>
      </c>
      <c r="E35" s="173"/>
      <c r="F35" s="174"/>
      <c r="G35" s="173">
        <v>0</v>
      </c>
      <c r="H35" s="173"/>
      <c r="I35" s="175" t="s">
        <v>202</v>
      </c>
      <c r="J35" s="143"/>
    </row>
    <row r="36" spans="1:10" ht="12.75" customHeight="1" x14ac:dyDescent="0.2">
      <c r="A36" s="169">
        <f t="shared" si="2"/>
        <v>105</v>
      </c>
      <c r="B36" s="170">
        <v>190</v>
      </c>
      <c r="C36" s="171" t="s">
        <v>209</v>
      </c>
      <c r="D36" s="172">
        <v>1839019</v>
      </c>
      <c r="E36" s="173">
        <f>$G$193*D36</f>
        <v>1484.5082558668153</v>
      </c>
      <c r="F36" s="174"/>
      <c r="G36" s="173">
        <f>D36-E36</f>
        <v>1837534.4917441332</v>
      </c>
      <c r="H36" s="173"/>
      <c r="I36" s="175" t="s">
        <v>202</v>
      </c>
      <c r="J36" s="143"/>
    </row>
    <row r="37" spans="1:10" x14ac:dyDescent="0.2">
      <c r="A37" s="169">
        <f t="shared" si="2"/>
        <v>106</v>
      </c>
      <c r="B37" s="170">
        <v>190</v>
      </c>
      <c r="C37" s="171" t="s">
        <v>210</v>
      </c>
      <c r="D37" s="172">
        <v>2984473</v>
      </c>
      <c r="E37" s="173">
        <f>(0.5*$G$185*D37)+(0.5*D37)</f>
        <v>1494374.0111244018</v>
      </c>
      <c r="F37" s="174"/>
      <c r="G37" s="173"/>
      <c r="H37" s="173">
        <f t="shared" ref="H37:H40" si="3">D37-E37</f>
        <v>1490098.9888755982</v>
      </c>
      <c r="I37" s="175" t="s">
        <v>205</v>
      </c>
      <c r="J37" s="143"/>
    </row>
    <row r="38" spans="1:10" x14ac:dyDescent="0.2">
      <c r="A38" s="169">
        <f t="shared" si="2"/>
        <v>107</v>
      </c>
      <c r="B38" s="170">
        <v>190</v>
      </c>
      <c r="C38" s="171" t="s">
        <v>211</v>
      </c>
      <c r="D38" s="172">
        <v>63030397</v>
      </c>
      <c r="E38" s="173">
        <f>$G$185*D38</f>
        <v>90286.073797928926</v>
      </c>
      <c r="F38" s="174"/>
      <c r="G38" s="173"/>
      <c r="H38" s="173">
        <f t="shared" si="3"/>
        <v>62940110.926202074</v>
      </c>
      <c r="I38" s="175" t="s">
        <v>205</v>
      </c>
      <c r="J38" s="143"/>
    </row>
    <row r="39" spans="1:10" x14ac:dyDescent="0.2">
      <c r="A39" s="169">
        <f t="shared" si="2"/>
        <v>108</v>
      </c>
      <c r="B39" s="170">
        <v>190</v>
      </c>
      <c r="C39" s="171" t="s">
        <v>212</v>
      </c>
      <c r="D39" s="172">
        <v>23957684</v>
      </c>
      <c r="E39" s="173">
        <f>$G$185*D39</f>
        <v>34317.493282669013</v>
      </c>
      <c r="F39" s="174"/>
      <c r="G39" s="173"/>
      <c r="H39" s="173">
        <f t="shared" si="3"/>
        <v>23923366.506717332</v>
      </c>
      <c r="I39" s="175" t="s">
        <v>205</v>
      </c>
      <c r="J39" s="143"/>
    </row>
    <row r="40" spans="1:10" x14ac:dyDescent="0.2">
      <c r="A40" s="169">
        <f>+A39+1</f>
        <v>109</v>
      </c>
      <c r="B40" s="170">
        <v>190</v>
      </c>
      <c r="C40" s="171" t="s">
        <v>213</v>
      </c>
      <c r="D40" s="172">
        <v>981547</v>
      </c>
      <c r="E40" s="173">
        <f>$G$185*D40</f>
        <v>1405.9886831767178</v>
      </c>
      <c r="F40" s="174"/>
      <c r="G40" s="173"/>
      <c r="H40" s="173">
        <f t="shared" si="3"/>
        <v>980141.01131682331</v>
      </c>
      <c r="I40" s="175" t="s">
        <v>205</v>
      </c>
      <c r="J40" s="143"/>
    </row>
    <row r="41" spans="1:10" x14ac:dyDescent="0.2">
      <c r="A41" s="169">
        <f t="shared" si="2"/>
        <v>110</v>
      </c>
      <c r="B41" s="170">
        <v>190</v>
      </c>
      <c r="C41" s="171" t="s">
        <v>214</v>
      </c>
      <c r="D41" s="172">
        <v>0</v>
      </c>
      <c r="E41" s="173"/>
      <c r="F41" s="160">
        <f>D41</f>
        <v>0</v>
      </c>
      <c r="G41" s="173">
        <v>0</v>
      </c>
      <c r="H41" s="173"/>
      <c r="I41" s="175" t="s">
        <v>215</v>
      </c>
      <c r="J41" s="176"/>
    </row>
    <row r="42" spans="1:10" x14ac:dyDescent="0.2">
      <c r="A42" s="169">
        <f t="shared" si="2"/>
        <v>111</v>
      </c>
      <c r="B42" s="170">
        <v>190</v>
      </c>
      <c r="C42" s="171" t="s">
        <v>216</v>
      </c>
      <c r="D42" s="172">
        <v>49972</v>
      </c>
      <c r="E42" s="173">
        <f>$G$193*D42</f>
        <v>40.338814640945252</v>
      </c>
      <c r="F42" s="174"/>
      <c r="G42" s="173">
        <f>D42-E42</f>
        <v>49931.661185359051</v>
      </c>
      <c r="H42" s="173"/>
      <c r="I42" s="175" t="s">
        <v>202</v>
      </c>
      <c r="J42" s="143"/>
    </row>
    <row r="43" spans="1:10" x14ac:dyDescent="0.2">
      <c r="A43" s="169">
        <f t="shared" si="2"/>
        <v>112</v>
      </c>
      <c r="B43" s="170">
        <v>190</v>
      </c>
      <c r="C43" s="171" t="s">
        <v>217</v>
      </c>
      <c r="D43" s="172">
        <v>0</v>
      </c>
      <c r="E43" s="173">
        <v>0</v>
      </c>
      <c r="F43" s="174"/>
      <c r="G43" s="173">
        <v>0</v>
      </c>
      <c r="H43" s="173"/>
      <c r="I43" s="175" t="s">
        <v>202</v>
      </c>
      <c r="J43" s="143"/>
    </row>
    <row r="44" spans="1:10" x14ac:dyDescent="0.2">
      <c r="A44" s="169">
        <f t="shared" si="2"/>
        <v>113</v>
      </c>
      <c r="B44" s="170">
        <v>190</v>
      </c>
      <c r="C44" s="171" t="s">
        <v>218</v>
      </c>
      <c r="D44" s="172">
        <v>53767163</v>
      </c>
      <c r="E44" s="173">
        <f>$G$185*D44</f>
        <v>77017.221492723169</v>
      </c>
      <c r="F44" s="174"/>
      <c r="G44" s="173"/>
      <c r="H44" s="173">
        <f t="shared" ref="H44" si="4">D44-E44</f>
        <v>53690145.778507277</v>
      </c>
      <c r="I44" s="175" t="s">
        <v>205</v>
      </c>
      <c r="J44" s="143"/>
    </row>
    <row r="45" spans="1:10" x14ac:dyDescent="0.2">
      <c r="A45" s="169">
        <f t="shared" si="2"/>
        <v>114</v>
      </c>
      <c r="B45" s="170">
        <v>190</v>
      </c>
      <c r="C45" s="171" t="s">
        <v>219</v>
      </c>
      <c r="D45" s="172">
        <v>0</v>
      </c>
      <c r="E45" s="173"/>
      <c r="F45" s="174"/>
      <c r="G45" s="173">
        <v>0</v>
      </c>
      <c r="H45" s="174"/>
      <c r="I45" s="175" t="s">
        <v>215</v>
      </c>
      <c r="J45" s="143"/>
    </row>
    <row r="46" spans="1:10" x14ac:dyDescent="0.2">
      <c r="A46" s="169">
        <f t="shared" si="2"/>
        <v>115</v>
      </c>
      <c r="B46" s="170">
        <v>190</v>
      </c>
      <c r="C46" s="171" t="s">
        <v>220</v>
      </c>
      <c r="D46" s="172">
        <v>0</v>
      </c>
      <c r="E46" s="173"/>
      <c r="F46" s="174"/>
      <c r="G46" s="173">
        <v>0</v>
      </c>
      <c r="H46" s="174"/>
      <c r="I46" s="175" t="s">
        <v>215</v>
      </c>
      <c r="J46" s="143"/>
    </row>
    <row r="47" spans="1:10" x14ac:dyDescent="0.2">
      <c r="A47" s="169">
        <f t="shared" si="2"/>
        <v>116</v>
      </c>
      <c r="B47" s="170">
        <v>190</v>
      </c>
      <c r="C47" s="171" t="s">
        <v>221</v>
      </c>
      <c r="D47" s="172">
        <v>535053617</v>
      </c>
      <c r="E47" s="173">
        <v>535053617</v>
      </c>
      <c r="F47" s="174"/>
      <c r="G47" s="174"/>
      <c r="H47" s="174"/>
      <c r="I47" s="175" t="s">
        <v>222</v>
      </c>
      <c r="J47" s="143"/>
    </row>
    <row r="48" spans="1:10" x14ac:dyDescent="0.2">
      <c r="A48" s="169">
        <f t="shared" si="2"/>
        <v>117</v>
      </c>
      <c r="B48" s="170">
        <v>190</v>
      </c>
      <c r="C48" s="171" t="s">
        <v>223</v>
      </c>
      <c r="D48" s="172">
        <v>-219297130</v>
      </c>
      <c r="E48" s="173">
        <v>-219297130</v>
      </c>
      <c r="F48" s="174"/>
      <c r="G48" s="174"/>
      <c r="H48" s="174"/>
      <c r="I48" s="175" t="s">
        <v>224</v>
      </c>
      <c r="J48" s="143"/>
    </row>
    <row r="49" spans="1:12" ht="13.5" thickBot="1" x14ac:dyDescent="0.25">
      <c r="A49" s="169">
        <f t="shared" si="2"/>
        <v>118</v>
      </c>
      <c r="B49" s="170">
        <v>190</v>
      </c>
      <c r="C49" s="171" t="s">
        <v>225</v>
      </c>
      <c r="D49" s="172">
        <v>259094744</v>
      </c>
      <c r="E49" s="177">
        <v>259094744</v>
      </c>
      <c r="F49" s="174"/>
      <c r="G49" s="174"/>
      <c r="H49" s="174"/>
      <c r="I49" s="175" t="s">
        <v>226</v>
      </c>
      <c r="J49" s="143"/>
    </row>
    <row r="50" spans="1:12" ht="35.25" customHeight="1" thickBot="1" x14ac:dyDescent="0.25">
      <c r="A50" s="169">
        <f t="shared" si="2"/>
        <v>119</v>
      </c>
      <c r="B50" s="170">
        <v>190</v>
      </c>
      <c r="C50" s="171" t="s">
        <v>227</v>
      </c>
      <c r="D50" s="172">
        <v>39348979</v>
      </c>
      <c r="E50" s="178">
        <f>$G$185*D50</f>
        <v>56364.309776870919</v>
      </c>
      <c r="F50" s="179"/>
      <c r="G50" s="174"/>
      <c r="H50" s="180">
        <f t="shared" ref="H50" si="5">D50-E50</f>
        <v>39292614.690223128</v>
      </c>
      <c r="I50" s="546" t="s">
        <v>228</v>
      </c>
      <c r="J50" s="547"/>
    </row>
    <row r="51" spans="1:12" x14ac:dyDescent="0.2">
      <c r="A51" s="169">
        <f t="shared" si="2"/>
        <v>120</v>
      </c>
      <c r="B51" s="170">
        <v>190</v>
      </c>
      <c r="C51" s="171" t="s">
        <v>229</v>
      </c>
      <c r="D51" s="172">
        <v>-74375931</v>
      </c>
      <c r="E51" s="173">
        <v>-74375931</v>
      </c>
      <c r="F51" s="174"/>
      <c r="G51" s="174"/>
      <c r="H51" s="174"/>
      <c r="I51" s="175" t="s">
        <v>230</v>
      </c>
      <c r="J51" s="143"/>
    </row>
    <row r="52" spans="1:12" x14ac:dyDescent="0.2">
      <c r="A52" s="169">
        <f t="shared" si="2"/>
        <v>121</v>
      </c>
      <c r="B52" s="170">
        <v>190</v>
      </c>
      <c r="C52" s="171" t="s">
        <v>231</v>
      </c>
      <c r="D52" s="172">
        <v>32402326</v>
      </c>
      <c r="E52" s="173">
        <v>32402326</v>
      </c>
      <c r="F52" s="174"/>
      <c r="G52" s="174"/>
      <c r="H52" s="174"/>
      <c r="I52" s="175" t="s">
        <v>224</v>
      </c>
      <c r="J52" s="143"/>
    </row>
    <row r="53" spans="1:12" x14ac:dyDescent="0.2">
      <c r="A53" s="169">
        <f t="shared" si="2"/>
        <v>122</v>
      </c>
      <c r="B53" s="170">
        <v>190</v>
      </c>
      <c r="C53" s="171" t="s">
        <v>232</v>
      </c>
      <c r="D53" s="172">
        <v>546109041</v>
      </c>
      <c r="E53" s="173">
        <v>546109041</v>
      </c>
      <c r="F53" s="174"/>
      <c r="G53" s="174"/>
      <c r="H53" s="174"/>
      <c r="I53" s="175" t="s">
        <v>230</v>
      </c>
      <c r="J53" s="143"/>
    </row>
    <row r="54" spans="1:12" x14ac:dyDescent="0.2">
      <c r="A54" s="65"/>
      <c r="B54" s="181"/>
      <c r="C54" s="182"/>
      <c r="D54" s="183"/>
      <c r="E54" s="184"/>
      <c r="F54" s="184"/>
      <c r="G54" s="184"/>
      <c r="H54" s="184"/>
      <c r="I54" s="142"/>
      <c r="J54" s="142"/>
      <c r="K54" s="78"/>
      <c r="L54" s="78"/>
    </row>
    <row r="55" spans="1:12" x14ac:dyDescent="0.2">
      <c r="A55" s="65"/>
      <c r="B55" s="145" t="s">
        <v>233</v>
      </c>
      <c r="C55" s="162"/>
      <c r="D55" s="166"/>
      <c r="E55" s="144"/>
      <c r="F55" s="144"/>
      <c r="G55" s="144"/>
      <c r="H55" s="144"/>
      <c r="I55" s="144"/>
      <c r="J55" s="142"/>
      <c r="K55" s="78"/>
      <c r="L55" s="78"/>
    </row>
    <row r="56" spans="1:12" x14ac:dyDescent="0.2">
      <c r="A56" s="65"/>
      <c r="B56" s="145"/>
      <c r="C56" s="129" t="s">
        <v>167</v>
      </c>
      <c r="D56" s="129" t="s">
        <v>168</v>
      </c>
      <c r="E56" s="129" t="s">
        <v>184</v>
      </c>
      <c r="F56" s="129" t="s">
        <v>185</v>
      </c>
      <c r="G56" s="129" t="s">
        <v>186</v>
      </c>
      <c r="H56" s="129" t="s">
        <v>187</v>
      </c>
      <c r="I56" s="129" t="s">
        <v>188</v>
      </c>
      <c r="J56" s="142"/>
      <c r="K56" s="78"/>
      <c r="L56" s="78"/>
    </row>
    <row r="57" spans="1:12" x14ac:dyDescent="0.2">
      <c r="A57" s="65"/>
      <c r="B57" s="163"/>
      <c r="C57" s="163"/>
      <c r="D57" s="163" t="s">
        <v>189</v>
      </c>
      <c r="E57" s="163" t="s">
        <v>190</v>
      </c>
      <c r="F57" s="163"/>
      <c r="G57" s="163"/>
      <c r="H57" s="163"/>
      <c r="I57" s="167" t="s">
        <v>192</v>
      </c>
      <c r="J57" s="142"/>
      <c r="K57" s="78"/>
      <c r="L57" s="78"/>
    </row>
    <row r="58" spans="1:12" x14ac:dyDescent="0.2">
      <c r="A58" s="65"/>
      <c r="B58" s="168" t="s">
        <v>193</v>
      </c>
      <c r="C58" s="168" t="s">
        <v>194</v>
      </c>
      <c r="D58" s="168" t="s">
        <v>195</v>
      </c>
      <c r="E58" s="168" t="s">
        <v>196</v>
      </c>
      <c r="F58" s="168" t="s">
        <v>197</v>
      </c>
      <c r="G58" s="168" t="s">
        <v>198</v>
      </c>
      <c r="H58" s="168" t="s">
        <v>234</v>
      </c>
      <c r="I58" s="168" t="s">
        <v>6</v>
      </c>
      <c r="J58" s="142"/>
      <c r="K58" s="78"/>
      <c r="L58" s="78"/>
    </row>
    <row r="59" spans="1:12" x14ac:dyDescent="0.2">
      <c r="A59" s="65"/>
      <c r="B59" s="146" t="s">
        <v>200</v>
      </c>
      <c r="C59" s="146"/>
      <c r="D59" s="146"/>
      <c r="E59" s="144"/>
      <c r="F59" s="144"/>
      <c r="G59" s="144"/>
      <c r="H59" s="144"/>
      <c r="I59" s="144"/>
      <c r="J59" s="142"/>
      <c r="K59" s="78"/>
      <c r="L59" s="78"/>
    </row>
    <row r="60" spans="1:12" x14ac:dyDescent="0.2">
      <c r="A60" s="169">
        <f>A53+1</f>
        <v>123</v>
      </c>
      <c r="B60" s="170" t="s">
        <v>235</v>
      </c>
      <c r="C60" s="171"/>
      <c r="D60" s="172"/>
      <c r="E60" s="174"/>
      <c r="F60" s="174"/>
      <c r="G60" s="174"/>
      <c r="H60" s="174"/>
      <c r="I60" s="143"/>
      <c r="J60" s="143"/>
      <c r="K60" s="78"/>
      <c r="L60" s="78"/>
    </row>
    <row r="61" spans="1:12" x14ac:dyDescent="0.2">
      <c r="A61" s="60"/>
      <c r="B61" s="185"/>
      <c r="C61" s="146"/>
      <c r="D61" s="186"/>
      <c r="E61" s="187"/>
      <c r="F61" s="187"/>
      <c r="G61" s="187"/>
      <c r="H61" s="187"/>
      <c r="I61" s="150" t="s">
        <v>8</v>
      </c>
      <c r="J61" s="144"/>
      <c r="K61" s="78"/>
      <c r="L61" s="78"/>
    </row>
    <row r="62" spans="1:12" x14ac:dyDescent="0.2">
      <c r="A62" s="65">
        <v>250</v>
      </c>
      <c r="B62" s="146"/>
      <c r="C62" s="146" t="s">
        <v>236</v>
      </c>
      <c r="D62" s="188">
        <f>SUM(D31:D53)+SUM(D60:D60)</f>
        <v>1267995280</v>
      </c>
      <c r="E62" s="188">
        <f>SUM(E31:E53)+SUM(E60:E60)</f>
        <v>1082194416.4911656</v>
      </c>
      <c r="F62" s="188">
        <f>SUM(F31:F53)+SUM(F60:F60)</f>
        <v>0</v>
      </c>
      <c r="G62" s="188">
        <f>SUM(G31:G53)+SUM(G60:G60)</f>
        <v>2036200.992954839</v>
      </c>
      <c r="H62" s="188">
        <f>SUM(H31:H53)+SUM(H60:H60)</f>
        <v>183764662.51587942</v>
      </c>
      <c r="I62" s="157" t="str">
        <f>"Sum of Above Lines beginning on Line "&amp;A31&amp;""</f>
        <v>Sum of Above Lines beginning on Line 100</v>
      </c>
      <c r="J62" s="144"/>
      <c r="K62" s="78"/>
      <c r="L62" s="78"/>
    </row>
    <row r="63" spans="1:12" x14ac:dyDescent="0.2">
      <c r="A63" s="60"/>
      <c r="B63" s="146"/>
      <c r="C63" s="146"/>
      <c r="D63" s="189"/>
      <c r="E63" s="187"/>
      <c r="F63" s="187"/>
      <c r="G63" s="187"/>
      <c r="H63" s="187"/>
      <c r="I63" s="144"/>
      <c r="J63" s="144"/>
    </row>
    <row r="64" spans="1:12" x14ac:dyDescent="0.2">
      <c r="A64" s="60"/>
      <c r="B64" s="146" t="s">
        <v>237</v>
      </c>
      <c r="C64" s="146"/>
      <c r="D64" s="189"/>
      <c r="E64" s="187"/>
      <c r="F64" s="187"/>
      <c r="G64" s="187"/>
      <c r="H64" s="187"/>
      <c r="I64" s="167" t="s">
        <v>192</v>
      </c>
      <c r="J64" s="144"/>
    </row>
    <row r="65" spans="1:10" x14ac:dyDescent="0.2">
      <c r="A65" s="60"/>
      <c r="C65" s="129" t="s">
        <v>167</v>
      </c>
      <c r="D65" s="129" t="s">
        <v>168</v>
      </c>
      <c r="E65" s="129" t="s">
        <v>184</v>
      </c>
      <c r="F65" s="129" t="s">
        <v>185</v>
      </c>
      <c r="G65" s="129" t="s">
        <v>186</v>
      </c>
      <c r="H65" s="129" t="s">
        <v>187</v>
      </c>
      <c r="I65" s="129" t="s">
        <v>188</v>
      </c>
      <c r="J65" s="144"/>
    </row>
    <row r="66" spans="1:10" x14ac:dyDescent="0.2">
      <c r="A66" s="169">
        <v>300</v>
      </c>
      <c r="B66" s="170">
        <v>190</v>
      </c>
      <c r="C66" s="171" t="s">
        <v>238</v>
      </c>
      <c r="D66" s="172">
        <v>15672158</v>
      </c>
      <c r="E66" s="173">
        <v>15672158</v>
      </c>
      <c r="F66" s="173"/>
      <c r="G66" s="173"/>
      <c r="H66" s="173"/>
      <c r="I66" s="175" t="s">
        <v>239</v>
      </c>
      <c r="J66" s="175"/>
    </row>
    <row r="67" spans="1:10" x14ac:dyDescent="0.2">
      <c r="A67" s="169">
        <f t="shared" ref="A67:A70" si="6">A66+1</f>
        <v>301</v>
      </c>
      <c r="B67" s="170">
        <v>190</v>
      </c>
      <c r="C67" s="171" t="s">
        <v>223</v>
      </c>
      <c r="D67" s="172">
        <v>0</v>
      </c>
      <c r="E67" s="173">
        <v>0</v>
      </c>
      <c r="F67" s="173"/>
      <c r="G67" s="173"/>
      <c r="H67" s="173"/>
      <c r="I67" s="175" t="s">
        <v>239</v>
      </c>
      <c r="J67" s="175"/>
    </row>
    <row r="68" spans="1:10" x14ac:dyDescent="0.2">
      <c r="A68" s="169">
        <f t="shared" si="6"/>
        <v>302</v>
      </c>
      <c r="B68" s="170">
        <v>190</v>
      </c>
      <c r="C68" s="171" t="s">
        <v>232</v>
      </c>
      <c r="D68" s="172">
        <v>-5057862</v>
      </c>
      <c r="E68" s="173">
        <v>-5057862</v>
      </c>
      <c r="F68" s="173"/>
      <c r="G68" s="173"/>
      <c r="H68" s="173"/>
      <c r="I68" s="175" t="s">
        <v>239</v>
      </c>
      <c r="J68" s="175"/>
    </row>
    <row r="69" spans="1:10" x14ac:dyDescent="0.2">
      <c r="A69" s="169">
        <f t="shared" si="6"/>
        <v>303</v>
      </c>
      <c r="B69" s="170">
        <v>190</v>
      </c>
      <c r="C69" s="171" t="s">
        <v>240</v>
      </c>
      <c r="D69" s="172">
        <v>595473955</v>
      </c>
      <c r="E69" s="173">
        <v>595473955</v>
      </c>
      <c r="F69" s="173"/>
      <c r="G69" s="173"/>
      <c r="H69" s="173"/>
      <c r="I69" s="175"/>
      <c r="J69" s="175"/>
    </row>
    <row r="70" spans="1:10" x14ac:dyDescent="0.2">
      <c r="A70" s="169">
        <f t="shared" si="6"/>
        <v>304</v>
      </c>
      <c r="B70" s="190" t="s">
        <v>235</v>
      </c>
      <c r="C70" s="171"/>
      <c r="D70" s="172"/>
      <c r="E70" s="174"/>
      <c r="F70" s="174"/>
      <c r="G70" s="174"/>
      <c r="H70" s="174"/>
      <c r="I70" s="143"/>
      <c r="J70" s="143"/>
    </row>
    <row r="71" spans="1:10" x14ac:dyDescent="0.2">
      <c r="A71" s="60"/>
      <c r="B71" s="185"/>
      <c r="C71" s="182"/>
      <c r="D71" s="183"/>
      <c r="E71" s="184"/>
      <c r="F71" s="184"/>
      <c r="G71" s="184"/>
      <c r="H71" s="184"/>
      <c r="I71" s="142"/>
      <c r="J71" s="142"/>
    </row>
    <row r="72" spans="1:10" x14ac:dyDescent="0.2">
      <c r="A72" s="60"/>
      <c r="B72" s="185"/>
      <c r="C72" s="129" t="s">
        <v>167</v>
      </c>
      <c r="D72" s="129" t="s">
        <v>168</v>
      </c>
      <c r="E72" s="129" t="s">
        <v>184</v>
      </c>
      <c r="F72" s="129" t="s">
        <v>185</v>
      </c>
      <c r="G72" s="129" t="s">
        <v>186</v>
      </c>
      <c r="H72" s="129" t="s">
        <v>187</v>
      </c>
      <c r="I72" s="150" t="s">
        <v>8</v>
      </c>
      <c r="J72" s="144"/>
    </row>
    <row r="73" spans="1:10" x14ac:dyDescent="0.2">
      <c r="A73" s="191">
        <v>350</v>
      </c>
      <c r="B73" s="146"/>
      <c r="C73" s="146" t="s">
        <v>241</v>
      </c>
      <c r="D73" s="188">
        <f>SUM(D66:D69)</f>
        <v>606088251</v>
      </c>
      <c r="E73" s="188">
        <f>SUM(E66:E69)</f>
        <v>606088251</v>
      </c>
      <c r="F73" s="188">
        <f>SUM(F66:F69)</f>
        <v>0</v>
      </c>
      <c r="G73" s="188">
        <f>SUM(G66:G69)</f>
        <v>0</v>
      </c>
      <c r="H73" s="188">
        <f>SUM(H66:H69)</f>
        <v>0</v>
      </c>
      <c r="I73" s="157" t="str">
        <f>"Sum of Above Lines beginning on Line "&amp;A66&amp;""</f>
        <v>Sum of Above Lines beginning on Line 300</v>
      </c>
      <c r="J73" s="144"/>
    </row>
    <row r="74" spans="1:10" x14ac:dyDescent="0.2">
      <c r="A74" s="191"/>
      <c r="B74" s="146"/>
      <c r="C74" s="146"/>
      <c r="D74" s="188"/>
      <c r="E74" s="188"/>
      <c r="F74" s="188"/>
      <c r="G74" s="188"/>
      <c r="H74" s="188"/>
      <c r="I74" s="157"/>
      <c r="J74" s="144"/>
    </row>
    <row r="75" spans="1:10" x14ac:dyDescent="0.2">
      <c r="A75" s="191">
        <f t="shared" ref="A75" si="7">A73+1</f>
        <v>351</v>
      </c>
      <c r="B75" s="146"/>
      <c r="C75" s="146" t="s">
        <v>242</v>
      </c>
      <c r="D75" s="188">
        <f>+D73+D62</f>
        <v>1874083531</v>
      </c>
      <c r="E75" s="188">
        <f>+E73+E62</f>
        <v>1688282667.4911656</v>
      </c>
      <c r="F75" s="188">
        <f>+F73+F62</f>
        <v>0</v>
      </c>
      <c r="G75" s="188">
        <f>+G73+G62</f>
        <v>2036200.992954839</v>
      </c>
      <c r="H75" s="188">
        <f>+H73+H62</f>
        <v>183764662.51587942</v>
      </c>
      <c r="I75" s="192" t="str">
        <f>"Line "&amp;A62&amp;" + Line "&amp;A73&amp;""</f>
        <v>Line 250 + Line 350</v>
      </c>
      <c r="J75" s="144"/>
    </row>
    <row r="76" spans="1:10" x14ac:dyDescent="0.2">
      <c r="A76" s="191">
        <f>+A75+1</f>
        <v>352</v>
      </c>
      <c r="B76" s="146"/>
      <c r="C76" s="146" t="s">
        <v>243</v>
      </c>
      <c r="D76" s="188"/>
      <c r="E76" s="188"/>
      <c r="F76" s="188"/>
      <c r="G76" s="193">
        <v>0.10972259682913496</v>
      </c>
      <c r="H76" s="193">
        <v>3.7193704666678068E-2</v>
      </c>
      <c r="I76" s="194" t="s">
        <v>762</v>
      </c>
      <c r="J76" s="144"/>
    </row>
    <row r="77" spans="1:10" x14ac:dyDescent="0.2">
      <c r="A77" s="191">
        <f>+A76+1</f>
        <v>353</v>
      </c>
      <c r="B77" s="146"/>
      <c r="C77" s="146" t="s">
        <v>244</v>
      </c>
      <c r="D77" s="188">
        <f>SUM(F77:H77)</f>
        <v>7058305.8464004528</v>
      </c>
      <c r="E77" s="188"/>
      <c r="F77" s="195">
        <f>+F75</f>
        <v>0</v>
      </c>
      <c r="G77" s="196">
        <f>+G75*G76</f>
        <v>223417.26061306807</v>
      </c>
      <c r="H77" s="196">
        <f>+H75*H76</f>
        <v>6834888.5857873848</v>
      </c>
      <c r="I77" s="192" t="str">
        <f>"Line "&amp;A75&amp;" * Line "&amp;A76&amp;" for Cols 5 and 6.  Col. 4 100% ISO."</f>
        <v>Line 351 * Line 352 for Cols 5 and 6.  Col. 4 100% ISO.</v>
      </c>
      <c r="J77" s="144"/>
    </row>
    <row r="78" spans="1:10" x14ac:dyDescent="0.2">
      <c r="A78" s="191"/>
      <c r="B78" s="146"/>
      <c r="C78" s="197" t="s">
        <v>245</v>
      </c>
      <c r="D78" s="188"/>
      <c r="E78" s="188"/>
      <c r="F78" s="188"/>
      <c r="G78" s="188"/>
      <c r="H78" s="188"/>
      <c r="I78" s="192"/>
      <c r="J78" s="144"/>
    </row>
    <row r="79" spans="1:10" x14ac:dyDescent="0.2">
      <c r="A79" s="191"/>
      <c r="B79" s="146"/>
      <c r="C79" s="146"/>
      <c r="D79" s="188"/>
      <c r="E79" s="188"/>
      <c r="F79" s="188"/>
      <c r="G79" s="188"/>
      <c r="H79" s="188"/>
      <c r="I79" s="192"/>
      <c r="J79" s="144"/>
    </row>
    <row r="80" spans="1:10" x14ac:dyDescent="0.2">
      <c r="A80" s="191">
        <f>+A77+1</f>
        <v>354</v>
      </c>
      <c r="B80" s="146"/>
      <c r="C80" s="146" t="s">
        <v>246</v>
      </c>
      <c r="D80" s="198">
        <v>1874083531</v>
      </c>
      <c r="E80" s="199" t="str">
        <f>"Must match amount on Line "&amp;A75&amp;", Col. 2"</f>
        <v>Must match amount on Line 351, Col. 2</v>
      </c>
      <c r="G80" s="188"/>
      <c r="H80" s="188"/>
      <c r="I80" s="192" t="s">
        <v>247</v>
      </c>
      <c r="J80" s="144"/>
    </row>
    <row r="81" spans="1:10" x14ac:dyDescent="0.2">
      <c r="A81" s="60"/>
      <c r="B81" s="146"/>
      <c r="C81" s="146"/>
      <c r="D81" s="200"/>
      <c r="E81" s="200"/>
      <c r="F81" s="200"/>
      <c r="G81" s="200"/>
      <c r="H81" s="200"/>
      <c r="I81" s="201"/>
      <c r="J81" s="144"/>
    </row>
    <row r="82" spans="1:10" x14ac:dyDescent="0.2">
      <c r="A82" s="124"/>
      <c r="B82" s="145" t="s">
        <v>248</v>
      </c>
      <c r="C82" s="202"/>
      <c r="D82" s="200"/>
      <c r="E82" s="144"/>
      <c r="F82" s="144"/>
      <c r="G82" s="144"/>
      <c r="H82" s="144"/>
      <c r="I82" s="144"/>
      <c r="J82" s="144"/>
    </row>
    <row r="83" spans="1:10" x14ac:dyDescent="0.2">
      <c r="A83" s="124"/>
      <c r="C83" s="129" t="s">
        <v>167</v>
      </c>
      <c r="D83" s="129" t="s">
        <v>168</v>
      </c>
      <c r="E83" s="129" t="s">
        <v>184</v>
      </c>
      <c r="F83" s="129" t="s">
        <v>185</v>
      </c>
      <c r="G83" s="129" t="s">
        <v>186</v>
      </c>
      <c r="H83" s="129" t="s">
        <v>187</v>
      </c>
      <c r="I83" s="129" t="s">
        <v>188</v>
      </c>
      <c r="J83" s="144"/>
    </row>
    <row r="84" spans="1:10" x14ac:dyDescent="0.2">
      <c r="A84" s="124"/>
      <c r="B84" s="163"/>
      <c r="C84" s="163"/>
      <c r="D84" s="163" t="s">
        <v>189</v>
      </c>
      <c r="E84" s="163" t="s">
        <v>190</v>
      </c>
      <c r="F84" s="163"/>
      <c r="G84" s="163"/>
      <c r="H84" s="163" t="s">
        <v>191</v>
      </c>
      <c r="I84" s="167" t="s">
        <v>192</v>
      </c>
      <c r="J84" s="144"/>
    </row>
    <row r="85" spans="1:10" x14ac:dyDescent="0.2">
      <c r="A85" s="124"/>
      <c r="B85" s="168" t="s">
        <v>249</v>
      </c>
      <c r="C85" s="168" t="s">
        <v>194</v>
      </c>
      <c r="D85" s="168" t="s">
        <v>195</v>
      </c>
      <c r="E85" s="168" t="s">
        <v>196</v>
      </c>
      <c r="F85" s="168" t="s">
        <v>197</v>
      </c>
      <c r="G85" s="168" t="s">
        <v>198</v>
      </c>
      <c r="H85" s="168" t="s">
        <v>199</v>
      </c>
      <c r="I85" s="168" t="s">
        <v>6</v>
      </c>
      <c r="J85" s="144"/>
    </row>
    <row r="86" spans="1:10" x14ac:dyDescent="0.2">
      <c r="A86" s="169">
        <v>400</v>
      </c>
      <c r="B86" s="203">
        <v>282</v>
      </c>
      <c r="C86" s="204" t="s">
        <v>250</v>
      </c>
      <c r="D86" s="205">
        <v>-646975674.62423754</v>
      </c>
      <c r="E86" s="173"/>
      <c r="F86" s="173">
        <v>-646975674.62423754</v>
      </c>
      <c r="G86" s="173"/>
      <c r="H86" s="173"/>
      <c r="I86" s="175" t="s">
        <v>251</v>
      </c>
      <c r="J86" s="175"/>
    </row>
    <row r="87" spans="1:10" x14ac:dyDescent="0.2">
      <c r="A87" s="169">
        <f t="shared" ref="A87:A95" si="8">A86+1</f>
        <v>401</v>
      </c>
      <c r="B87" s="203">
        <v>282</v>
      </c>
      <c r="C87" s="204" t="s">
        <v>252</v>
      </c>
      <c r="D87" s="205">
        <v>-406938812.09741378</v>
      </c>
      <c r="E87" s="173">
        <v>-406938812.09741378</v>
      </c>
      <c r="F87" s="173"/>
      <c r="G87" s="173"/>
      <c r="H87" s="173"/>
      <c r="I87" s="175" t="s">
        <v>230</v>
      </c>
      <c r="J87" s="175"/>
    </row>
    <row r="88" spans="1:10" x14ac:dyDescent="0.2">
      <c r="A88" s="169">
        <f t="shared" si="8"/>
        <v>402</v>
      </c>
      <c r="B88" s="203">
        <v>282</v>
      </c>
      <c r="C88" s="206" t="s">
        <v>253</v>
      </c>
      <c r="D88" s="205">
        <v>1092181</v>
      </c>
      <c r="E88" s="173"/>
      <c r="F88" s="173">
        <v>1092181</v>
      </c>
      <c r="G88" s="173"/>
      <c r="H88" s="173"/>
      <c r="I88" s="175" t="s">
        <v>251</v>
      </c>
      <c r="J88" s="175"/>
    </row>
    <row r="89" spans="1:10" x14ac:dyDescent="0.2">
      <c r="A89" s="169">
        <f t="shared" si="8"/>
        <v>403</v>
      </c>
      <c r="B89" s="203">
        <v>282</v>
      </c>
      <c r="C89" s="204" t="s">
        <v>254</v>
      </c>
      <c r="D89" s="205">
        <v>0</v>
      </c>
      <c r="E89" s="173"/>
      <c r="F89" s="173"/>
      <c r="G89" s="173">
        <v>0</v>
      </c>
      <c r="H89" s="173"/>
      <c r="I89" s="175" t="s">
        <v>215</v>
      </c>
      <c r="J89" s="175"/>
    </row>
    <row r="90" spans="1:10" x14ac:dyDescent="0.2">
      <c r="A90" s="169">
        <f t="shared" si="8"/>
        <v>404</v>
      </c>
      <c r="B90" s="203">
        <v>282</v>
      </c>
      <c r="C90" s="204" t="s">
        <v>255</v>
      </c>
      <c r="D90" s="205">
        <v>-27717767</v>
      </c>
      <c r="E90" s="173"/>
      <c r="F90" s="173">
        <v>-27717767</v>
      </c>
      <c r="G90" s="173"/>
      <c r="H90" s="173"/>
      <c r="I90" s="175" t="s">
        <v>251</v>
      </c>
      <c r="J90" s="175"/>
    </row>
    <row r="91" spans="1:10" x14ac:dyDescent="0.2">
      <c r="A91" s="169">
        <f t="shared" si="8"/>
        <v>405</v>
      </c>
      <c r="B91" s="203">
        <v>282</v>
      </c>
      <c r="C91" s="204" t="s">
        <v>256</v>
      </c>
      <c r="D91" s="205">
        <v>0</v>
      </c>
      <c r="E91" s="173"/>
      <c r="F91" s="173">
        <v>0</v>
      </c>
      <c r="G91" s="173"/>
      <c r="H91" s="173"/>
      <c r="I91" s="175" t="s">
        <v>251</v>
      </c>
      <c r="J91" s="175"/>
    </row>
    <row r="92" spans="1:10" x14ac:dyDescent="0.2">
      <c r="A92" s="169">
        <f t="shared" si="8"/>
        <v>406</v>
      </c>
      <c r="B92" s="203">
        <v>282</v>
      </c>
      <c r="C92" s="204" t="s">
        <v>257</v>
      </c>
      <c r="D92" s="205">
        <v>0</v>
      </c>
      <c r="E92" s="173"/>
      <c r="F92" s="173"/>
      <c r="G92" s="173">
        <v>0</v>
      </c>
      <c r="H92" s="173"/>
      <c r="I92" s="175" t="s">
        <v>215</v>
      </c>
      <c r="J92" s="175"/>
    </row>
    <row r="93" spans="1:10" x14ac:dyDescent="0.2">
      <c r="A93" s="169">
        <f t="shared" si="8"/>
        <v>407</v>
      </c>
      <c r="B93" s="203">
        <v>282</v>
      </c>
      <c r="C93" s="204" t="s">
        <v>229</v>
      </c>
      <c r="D93" s="205">
        <v>-5041544537</v>
      </c>
      <c r="E93" s="173">
        <v>-5041544537</v>
      </c>
      <c r="F93" s="173"/>
      <c r="G93" s="173"/>
      <c r="H93" s="173"/>
      <c r="I93" s="175" t="s">
        <v>230</v>
      </c>
      <c r="J93" s="175"/>
    </row>
    <row r="94" spans="1:10" x14ac:dyDescent="0.2">
      <c r="A94" s="169">
        <f t="shared" si="8"/>
        <v>408</v>
      </c>
      <c r="B94" s="207">
        <v>282</v>
      </c>
      <c r="C94" s="204" t="s">
        <v>258</v>
      </c>
      <c r="D94" s="198">
        <v>-179541132</v>
      </c>
      <c r="E94" s="173">
        <v>-179541132</v>
      </c>
      <c r="F94" s="173"/>
      <c r="G94" s="173"/>
      <c r="H94" s="173"/>
      <c r="I94" s="175" t="s">
        <v>259</v>
      </c>
      <c r="J94" s="175"/>
    </row>
    <row r="95" spans="1:10" x14ac:dyDescent="0.2">
      <c r="A95" s="169">
        <f t="shared" si="8"/>
        <v>409</v>
      </c>
      <c r="B95" s="106" t="s">
        <v>235</v>
      </c>
      <c r="C95" s="107"/>
      <c r="D95" s="198"/>
      <c r="E95" s="174"/>
      <c r="F95" s="174"/>
      <c r="G95" s="174"/>
      <c r="H95" s="174"/>
      <c r="I95" s="143"/>
      <c r="J95" s="143"/>
    </row>
    <row r="96" spans="1:10" x14ac:dyDescent="0.2">
      <c r="A96" s="60"/>
      <c r="B96" s="111"/>
      <c r="C96" s="68"/>
      <c r="D96" s="196"/>
      <c r="E96" s="184"/>
      <c r="F96" s="184"/>
      <c r="G96" s="184"/>
      <c r="H96" s="184"/>
      <c r="I96" s="142"/>
      <c r="J96" s="142"/>
    </row>
    <row r="97" spans="1:10" x14ac:dyDescent="0.2">
      <c r="A97" s="60"/>
      <c r="B97" s="111"/>
      <c r="C97" s="129" t="s">
        <v>167</v>
      </c>
      <c r="D97" s="129" t="s">
        <v>168</v>
      </c>
      <c r="E97" s="129" t="s">
        <v>184</v>
      </c>
      <c r="F97" s="129" t="s">
        <v>185</v>
      </c>
      <c r="G97" s="129" t="s">
        <v>186</v>
      </c>
      <c r="H97" s="129" t="s">
        <v>187</v>
      </c>
      <c r="I97" s="150" t="s">
        <v>8</v>
      </c>
      <c r="J97" s="142"/>
    </row>
    <row r="98" spans="1:10" x14ac:dyDescent="0.2">
      <c r="A98" s="65">
        <v>450</v>
      </c>
      <c r="B98" s="208"/>
      <c r="C98" s="124" t="s">
        <v>260</v>
      </c>
      <c r="D98" s="188">
        <f>SUM(D86:D95)</f>
        <v>-6301625741.7216511</v>
      </c>
      <c r="E98" s="188">
        <f>SUM(E86:E95)</f>
        <v>-5628024481.097414</v>
      </c>
      <c r="F98" s="188">
        <f>SUM(F86:F95)</f>
        <v>-673601260.62423754</v>
      </c>
      <c r="G98" s="188">
        <f>SUM(G86:G95)</f>
        <v>0</v>
      </c>
      <c r="H98" s="188">
        <f>SUM(H86:H95)</f>
        <v>0</v>
      </c>
      <c r="I98" s="157" t="str">
        <f>"Sum of Above Lines beginning on Line "&amp;A86&amp;""</f>
        <v>Sum of Above Lines beginning on Line 400</v>
      </c>
      <c r="J98" s="144"/>
    </row>
    <row r="99" spans="1:10" x14ac:dyDescent="0.2">
      <c r="A99" s="191">
        <f>+A98+1</f>
        <v>451</v>
      </c>
      <c r="B99" s="146"/>
      <c r="C99" s="146" t="s">
        <v>243</v>
      </c>
      <c r="D99" s="188"/>
      <c r="E99" s="188"/>
      <c r="F99" s="188"/>
      <c r="G99" s="193">
        <v>0.10972259682913496</v>
      </c>
      <c r="H99" s="193">
        <v>3.7193704666678068E-2</v>
      </c>
      <c r="I99" s="194" t="s">
        <v>762</v>
      </c>
      <c r="J99" s="144"/>
    </row>
    <row r="100" spans="1:10" x14ac:dyDescent="0.2">
      <c r="A100" s="191">
        <f>+A99+1</f>
        <v>452</v>
      </c>
      <c r="B100" s="146"/>
      <c r="C100" s="146" t="s">
        <v>261</v>
      </c>
      <c r="D100" s="188">
        <f>SUM(F100:H100)</f>
        <v>-673601260.62423754</v>
      </c>
      <c r="E100" s="188"/>
      <c r="F100" s="195">
        <f>+F98</f>
        <v>-673601260.62423754</v>
      </c>
      <c r="G100" s="196">
        <f>+G98*G99</f>
        <v>0</v>
      </c>
      <c r="H100" s="196">
        <f>+H98*H99</f>
        <v>0</v>
      </c>
      <c r="I100" s="192" t="str">
        <f>"Line "&amp;A98&amp;" * Line "&amp;A99&amp;" for Cols 5 and 6.  Col. 4 100% ISO."</f>
        <v>Line 450 * Line 451 for Cols 5 and 6.  Col. 4 100% ISO.</v>
      </c>
      <c r="J100" s="144"/>
    </row>
    <row r="101" spans="1:10" x14ac:dyDescent="0.2">
      <c r="A101" s="191"/>
      <c r="B101" s="146"/>
      <c r="C101" s="197" t="s">
        <v>245</v>
      </c>
      <c r="D101" s="188"/>
      <c r="E101" s="188"/>
      <c r="F101" s="188"/>
      <c r="G101" s="188"/>
      <c r="H101" s="188"/>
      <c r="I101" s="192"/>
      <c r="J101" s="144"/>
    </row>
    <row r="102" spans="1:10" x14ac:dyDescent="0.2">
      <c r="A102" s="65"/>
      <c r="B102" s="208"/>
      <c r="C102" s="124"/>
      <c r="D102" s="188"/>
      <c r="E102" s="188"/>
      <c r="F102" s="188"/>
      <c r="G102" s="188"/>
      <c r="H102" s="188"/>
      <c r="I102" s="157"/>
      <c r="J102" s="144"/>
    </row>
    <row r="103" spans="1:10" x14ac:dyDescent="0.2">
      <c r="A103" s="65">
        <f>+A100+1</f>
        <v>453</v>
      </c>
      <c r="B103" s="208"/>
      <c r="C103" s="146" t="s">
        <v>262</v>
      </c>
      <c r="D103" s="198">
        <v>6301625743</v>
      </c>
      <c r="E103" s="199" t="str">
        <f>"Must match amount on Line "&amp;A98&amp;", Col. 2"</f>
        <v>Must match amount on Line 450, Col. 2</v>
      </c>
      <c r="F103" s="188"/>
      <c r="G103" s="188"/>
      <c r="H103" s="188"/>
      <c r="I103" s="157" t="s">
        <v>263</v>
      </c>
      <c r="J103" s="144"/>
    </row>
    <row r="104" spans="1:10" x14ac:dyDescent="0.2">
      <c r="A104" s="60"/>
      <c r="B104" s="208"/>
      <c r="C104" s="124"/>
      <c r="D104" s="188"/>
      <c r="E104" s="188"/>
      <c r="F104" s="188"/>
      <c r="G104" s="188"/>
      <c r="H104" s="188"/>
      <c r="I104" s="157"/>
      <c r="J104" s="144"/>
    </row>
    <row r="105" spans="1:10" x14ac:dyDescent="0.2">
      <c r="A105" s="60"/>
      <c r="B105" s="208"/>
      <c r="C105" s="124"/>
      <c r="D105" s="188"/>
      <c r="E105" s="188"/>
      <c r="F105" s="188"/>
      <c r="G105" s="188"/>
      <c r="H105" s="188"/>
      <c r="I105" s="201"/>
      <c r="J105" s="144"/>
    </row>
    <row r="106" spans="1:10" x14ac:dyDescent="0.2">
      <c r="A106" s="124"/>
      <c r="B106" s="145" t="s">
        <v>264</v>
      </c>
      <c r="C106" s="209"/>
      <c r="D106" s="188"/>
      <c r="E106" s="187"/>
      <c r="F106" s="187"/>
      <c r="G106" s="187"/>
      <c r="H106" s="187"/>
      <c r="I106" s="144"/>
      <c r="J106" s="144"/>
    </row>
    <row r="107" spans="1:10" x14ac:dyDescent="0.2">
      <c r="A107" s="124"/>
      <c r="B107" s="145"/>
      <c r="C107" s="129" t="s">
        <v>167</v>
      </c>
      <c r="D107" s="129" t="s">
        <v>168</v>
      </c>
      <c r="E107" s="129" t="s">
        <v>184</v>
      </c>
      <c r="F107" s="129" t="s">
        <v>185</v>
      </c>
      <c r="G107" s="129" t="s">
        <v>186</v>
      </c>
      <c r="H107" s="129" t="s">
        <v>187</v>
      </c>
      <c r="I107" s="129" t="s">
        <v>188</v>
      </c>
      <c r="J107" s="144"/>
    </row>
    <row r="108" spans="1:10" x14ac:dyDescent="0.2">
      <c r="A108" s="124"/>
      <c r="B108" s="163"/>
      <c r="C108" s="163"/>
      <c r="D108" s="210" t="s">
        <v>189</v>
      </c>
      <c r="E108" s="210" t="s">
        <v>190</v>
      </c>
      <c r="F108" s="210"/>
      <c r="G108" s="210"/>
      <c r="H108" s="210" t="s">
        <v>191</v>
      </c>
      <c r="I108" s="167" t="s">
        <v>192</v>
      </c>
      <c r="J108" s="144"/>
    </row>
    <row r="109" spans="1:10" x14ac:dyDescent="0.2">
      <c r="A109" s="124"/>
      <c r="B109" s="168" t="s">
        <v>265</v>
      </c>
      <c r="C109" s="168" t="s">
        <v>194</v>
      </c>
      <c r="D109" s="211" t="s">
        <v>195</v>
      </c>
      <c r="E109" s="211" t="s">
        <v>196</v>
      </c>
      <c r="F109" s="211" t="s">
        <v>197</v>
      </c>
      <c r="G109" s="211" t="s">
        <v>198</v>
      </c>
      <c r="H109" s="211" t="s">
        <v>199</v>
      </c>
      <c r="I109" s="168" t="s">
        <v>6</v>
      </c>
      <c r="J109" s="144"/>
    </row>
    <row r="110" spans="1:10" x14ac:dyDescent="0.2">
      <c r="A110" s="60"/>
      <c r="B110" s="146" t="s">
        <v>200</v>
      </c>
      <c r="C110" s="144"/>
      <c r="D110" s="187"/>
      <c r="E110" s="187"/>
      <c r="F110" s="187"/>
      <c r="G110" s="187"/>
      <c r="H110" s="187"/>
      <c r="I110" s="144"/>
      <c r="J110" s="144"/>
    </row>
    <row r="111" spans="1:10" x14ac:dyDescent="0.2">
      <c r="A111" s="169">
        <v>500</v>
      </c>
      <c r="B111" s="212">
        <v>283</v>
      </c>
      <c r="C111" s="206" t="s">
        <v>266</v>
      </c>
      <c r="D111" s="213">
        <v>0</v>
      </c>
      <c r="E111" s="173">
        <v>0</v>
      </c>
      <c r="F111" s="173">
        <v>0</v>
      </c>
      <c r="G111" s="173"/>
      <c r="H111" s="173"/>
      <c r="I111" s="175" t="s">
        <v>267</v>
      </c>
      <c r="J111" s="143"/>
    </row>
    <row r="112" spans="1:10" x14ac:dyDescent="0.2">
      <c r="A112" s="169">
        <f t="shared" ref="A112:A123" si="9">A111+1</f>
        <v>501</v>
      </c>
      <c r="B112" s="212">
        <v>283</v>
      </c>
      <c r="C112" s="206" t="s">
        <v>268</v>
      </c>
      <c r="D112" s="213">
        <v>0</v>
      </c>
      <c r="E112" s="173"/>
      <c r="F112" s="173"/>
      <c r="G112" s="173"/>
      <c r="H112" s="173">
        <v>0</v>
      </c>
      <c r="I112" s="175" t="s">
        <v>205</v>
      </c>
      <c r="J112" s="143"/>
    </row>
    <row r="113" spans="1:10" x14ac:dyDescent="0.2">
      <c r="A113" s="169">
        <f t="shared" si="9"/>
        <v>502</v>
      </c>
      <c r="B113" s="212">
        <v>283</v>
      </c>
      <c r="C113" s="206" t="s">
        <v>269</v>
      </c>
      <c r="D113" s="213">
        <v>-65538802</v>
      </c>
      <c r="E113" s="173"/>
      <c r="F113" s="173"/>
      <c r="G113" s="173">
        <v>-65538802</v>
      </c>
      <c r="H113" s="173"/>
      <c r="I113" s="175" t="s">
        <v>215</v>
      </c>
      <c r="J113" s="143"/>
    </row>
    <row r="114" spans="1:10" x14ac:dyDescent="0.2">
      <c r="A114" s="169">
        <f t="shared" si="9"/>
        <v>503</v>
      </c>
      <c r="B114" s="212">
        <v>283</v>
      </c>
      <c r="C114" s="206" t="s">
        <v>270</v>
      </c>
      <c r="D114" s="213">
        <v>1637372</v>
      </c>
      <c r="E114" s="173">
        <f>$G$193*D114</f>
        <v>1321.7330826517612</v>
      </c>
      <c r="F114" s="173"/>
      <c r="G114" s="173">
        <f t="shared" ref="G114:G116" si="10">D114-E114</f>
        <v>1636050.2669173481</v>
      </c>
      <c r="H114" s="173"/>
      <c r="I114" s="175" t="s">
        <v>202</v>
      </c>
      <c r="J114" s="143"/>
    </row>
    <row r="115" spans="1:10" x14ac:dyDescent="0.2">
      <c r="A115" s="169">
        <f t="shared" si="9"/>
        <v>504</v>
      </c>
      <c r="B115" s="212">
        <v>283</v>
      </c>
      <c r="C115" s="206" t="s">
        <v>271</v>
      </c>
      <c r="D115" s="213">
        <v>-78420269</v>
      </c>
      <c r="E115" s="173">
        <f>$G$193*D115</f>
        <v>-63303.063621309229</v>
      </c>
      <c r="F115" s="173"/>
      <c r="G115" s="173">
        <f t="shared" si="10"/>
        <v>-78356965.936378688</v>
      </c>
      <c r="H115" s="173"/>
      <c r="I115" s="175" t="s">
        <v>202</v>
      </c>
      <c r="J115" s="143"/>
    </row>
    <row r="116" spans="1:10" x14ac:dyDescent="0.2">
      <c r="A116" s="169">
        <f t="shared" si="9"/>
        <v>505</v>
      </c>
      <c r="B116" s="212">
        <v>283</v>
      </c>
      <c r="C116" s="206" t="s">
        <v>220</v>
      </c>
      <c r="D116" s="213">
        <v>393450</v>
      </c>
      <c r="E116" s="173">
        <f>$G$193*D116</f>
        <v>317.60399064435899</v>
      </c>
      <c r="F116" s="173"/>
      <c r="G116" s="173">
        <f t="shared" si="10"/>
        <v>393132.39600935567</v>
      </c>
      <c r="H116" s="173"/>
      <c r="I116" s="175" t="s">
        <v>202</v>
      </c>
      <c r="J116" s="143"/>
    </row>
    <row r="117" spans="1:10" x14ac:dyDescent="0.2">
      <c r="A117" s="169">
        <f t="shared" si="9"/>
        <v>506</v>
      </c>
      <c r="B117" s="212">
        <v>283</v>
      </c>
      <c r="C117" s="206" t="s">
        <v>223</v>
      </c>
      <c r="D117" s="213">
        <v>-80060843</v>
      </c>
      <c r="E117" s="173">
        <v>-80060843</v>
      </c>
      <c r="F117" s="173"/>
      <c r="G117" s="173"/>
      <c r="H117" s="173"/>
      <c r="I117" s="175" t="s">
        <v>224</v>
      </c>
      <c r="J117" s="143"/>
    </row>
    <row r="118" spans="1:10" x14ac:dyDescent="0.2">
      <c r="A118" s="169">
        <f t="shared" si="9"/>
        <v>507</v>
      </c>
      <c r="B118" s="212">
        <v>283</v>
      </c>
      <c r="C118" s="206" t="s">
        <v>272</v>
      </c>
      <c r="D118" s="213">
        <v>-205974125</v>
      </c>
      <c r="E118" s="173">
        <v>-205974125</v>
      </c>
      <c r="F118" s="173"/>
      <c r="G118" s="173"/>
      <c r="H118" s="173"/>
      <c r="I118" s="175" t="s">
        <v>273</v>
      </c>
      <c r="J118" s="143"/>
    </row>
    <row r="119" spans="1:10" x14ac:dyDescent="0.2">
      <c r="A119" s="169">
        <f t="shared" si="9"/>
        <v>508</v>
      </c>
      <c r="B119" s="212">
        <v>283</v>
      </c>
      <c r="C119" s="206" t="s">
        <v>221</v>
      </c>
      <c r="D119" s="213">
        <v>-552075797</v>
      </c>
      <c r="E119" s="173">
        <v>-552075797</v>
      </c>
      <c r="F119" s="173"/>
      <c r="G119" s="173"/>
      <c r="H119" s="173"/>
      <c r="I119" s="175" t="s">
        <v>222</v>
      </c>
      <c r="J119" s="143"/>
    </row>
    <row r="120" spans="1:10" x14ac:dyDescent="0.2">
      <c r="A120" s="169">
        <f t="shared" si="9"/>
        <v>509</v>
      </c>
      <c r="B120" s="212">
        <v>283</v>
      </c>
      <c r="C120" s="206" t="s">
        <v>229</v>
      </c>
      <c r="D120" s="213">
        <v>-136937441</v>
      </c>
      <c r="E120" s="173">
        <v>-136937441</v>
      </c>
      <c r="F120" s="173"/>
      <c r="G120" s="173"/>
      <c r="H120" s="173"/>
      <c r="I120" s="175" t="s">
        <v>230</v>
      </c>
      <c r="J120" s="143"/>
    </row>
    <row r="121" spans="1:10" x14ac:dyDescent="0.2">
      <c r="A121" s="169">
        <f t="shared" si="9"/>
        <v>510</v>
      </c>
      <c r="B121" s="212">
        <v>283</v>
      </c>
      <c r="C121" s="206" t="s">
        <v>274</v>
      </c>
      <c r="D121" s="213">
        <v>-317037031</v>
      </c>
      <c r="E121" s="173">
        <v>-317037031</v>
      </c>
      <c r="F121" s="173"/>
      <c r="G121" s="173"/>
      <c r="H121" s="173"/>
      <c r="I121" s="175" t="s">
        <v>259</v>
      </c>
      <c r="J121" s="143"/>
    </row>
    <row r="122" spans="1:10" x14ac:dyDescent="0.2">
      <c r="A122" s="169">
        <f t="shared" si="9"/>
        <v>511</v>
      </c>
      <c r="B122" s="212">
        <v>283</v>
      </c>
      <c r="C122" s="206" t="s">
        <v>231</v>
      </c>
      <c r="D122" s="213">
        <v>51838280</v>
      </c>
      <c r="E122" s="173">
        <v>51838280</v>
      </c>
      <c r="F122" s="173"/>
      <c r="G122" s="173"/>
      <c r="H122" s="173"/>
      <c r="I122" s="175" t="s">
        <v>224</v>
      </c>
      <c r="J122" s="143"/>
    </row>
    <row r="123" spans="1:10" x14ac:dyDescent="0.2">
      <c r="A123" s="169">
        <f t="shared" si="9"/>
        <v>512</v>
      </c>
      <c r="B123" s="212">
        <v>283</v>
      </c>
      <c r="C123" s="206" t="s">
        <v>232</v>
      </c>
      <c r="D123" s="213">
        <v>-705837928</v>
      </c>
      <c r="E123" s="173">
        <v>-705837928</v>
      </c>
      <c r="F123" s="173"/>
      <c r="G123" s="173"/>
      <c r="H123" s="173"/>
      <c r="I123" s="175" t="s">
        <v>230</v>
      </c>
      <c r="J123" s="143"/>
    </row>
    <row r="124" spans="1:10" x14ac:dyDescent="0.2">
      <c r="A124" s="65"/>
      <c r="B124" s="214"/>
      <c r="C124" s="215"/>
      <c r="D124" s="216"/>
      <c r="E124" s="184"/>
      <c r="F124" s="184"/>
      <c r="G124" s="184"/>
      <c r="H124" s="184"/>
      <c r="I124" s="142"/>
      <c r="J124" s="142"/>
    </row>
    <row r="125" spans="1:10" x14ac:dyDescent="0.2">
      <c r="A125" s="65"/>
      <c r="B125" s="145" t="s">
        <v>275</v>
      </c>
      <c r="C125" s="209"/>
      <c r="D125" s="188"/>
      <c r="E125" s="187"/>
      <c r="F125" s="187"/>
      <c r="G125" s="187"/>
      <c r="H125" s="187"/>
      <c r="I125" s="144"/>
      <c r="J125" s="142"/>
    </row>
    <row r="126" spans="1:10" x14ac:dyDescent="0.2">
      <c r="A126" s="65"/>
      <c r="B126" s="145"/>
      <c r="C126" s="129" t="s">
        <v>167</v>
      </c>
      <c r="D126" s="129" t="s">
        <v>168</v>
      </c>
      <c r="E126" s="129" t="s">
        <v>184</v>
      </c>
      <c r="F126" s="129" t="s">
        <v>185</v>
      </c>
      <c r="G126" s="129" t="s">
        <v>186</v>
      </c>
      <c r="H126" s="129" t="s">
        <v>187</v>
      </c>
      <c r="I126" s="129" t="s">
        <v>188</v>
      </c>
      <c r="J126" s="142"/>
    </row>
    <row r="127" spans="1:10" x14ac:dyDescent="0.2">
      <c r="A127" s="65"/>
      <c r="B127" s="163"/>
      <c r="C127" s="163"/>
      <c r="D127" s="210" t="s">
        <v>189</v>
      </c>
      <c r="E127" s="210" t="s">
        <v>190</v>
      </c>
      <c r="F127" s="210"/>
      <c r="G127" s="210"/>
      <c r="H127" s="210" t="s">
        <v>191</v>
      </c>
      <c r="I127" s="167" t="s">
        <v>192</v>
      </c>
      <c r="J127" s="142"/>
    </row>
    <row r="128" spans="1:10" x14ac:dyDescent="0.2">
      <c r="A128" s="65"/>
      <c r="B128" s="168" t="s">
        <v>265</v>
      </c>
      <c r="C128" s="168" t="s">
        <v>194</v>
      </c>
      <c r="D128" s="211" t="s">
        <v>195</v>
      </c>
      <c r="E128" s="211" t="s">
        <v>196</v>
      </c>
      <c r="F128" s="211" t="s">
        <v>197</v>
      </c>
      <c r="G128" s="211" t="s">
        <v>198</v>
      </c>
      <c r="H128" s="211" t="s">
        <v>199</v>
      </c>
      <c r="I128" s="168" t="s">
        <v>6</v>
      </c>
      <c r="J128" s="142"/>
    </row>
    <row r="129" spans="1:10" x14ac:dyDescent="0.2">
      <c r="A129" s="65"/>
      <c r="B129" s="146" t="s">
        <v>276</v>
      </c>
      <c r="C129" s="163"/>
      <c r="D129" s="210"/>
      <c r="E129" s="210"/>
      <c r="F129" s="210"/>
      <c r="G129" s="210"/>
      <c r="H129" s="210"/>
      <c r="I129" s="163"/>
      <c r="J129" s="142"/>
    </row>
    <row r="130" spans="1:10" x14ac:dyDescent="0.2">
      <c r="A130" s="169">
        <f>A123+1</f>
        <v>513</v>
      </c>
      <c r="B130" s="217" t="s">
        <v>235</v>
      </c>
      <c r="C130" s="218"/>
      <c r="D130" s="219"/>
      <c r="E130" s="174"/>
      <c r="F130" s="174"/>
      <c r="G130" s="174"/>
      <c r="H130" s="174"/>
      <c r="I130" s="143"/>
      <c r="J130" s="143"/>
    </row>
    <row r="131" spans="1:10" x14ac:dyDescent="0.2">
      <c r="A131" s="65"/>
      <c r="B131" s="220"/>
      <c r="C131" s="83"/>
      <c r="D131" s="85"/>
      <c r="E131" s="184"/>
      <c r="F131" s="184"/>
      <c r="G131" s="184"/>
      <c r="H131" s="184"/>
      <c r="I131" s="142"/>
      <c r="J131" s="142"/>
    </row>
    <row r="132" spans="1:10" x14ac:dyDescent="0.2">
      <c r="A132" s="65">
        <v>650</v>
      </c>
      <c r="B132" s="83"/>
      <c r="C132" s="83" t="s">
        <v>277</v>
      </c>
      <c r="D132" s="85">
        <f>SUM(D111:D123)+SUM(D130:D130)</f>
        <v>-2088013134</v>
      </c>
      <c r="E132" s="85">
        <f>SUM(E111:E123)+SUM(E130:E130)</f>
        <v>-1946146548.726548</v>
      </c>
      <c r="F132" s="85">
        <f>SUM(F111:F123)+SUM(F130:F130)</f>
        <v>0</v>
      </c>
      <c r="G132" s="85">
        <f>SUM(G111:G123)+SUM(G130:G130)</f>
        <v>-141866585.27345198</v>
      </c>
      <c r="H132" s="85">
        <f>SUM(H111:H123)+SUM(H130:H130)</f>
        <v>0</v>
      </c>
      <c r="I132" s="157" t="str">
        <f>"Sum of Above Lines beginning on Line "&amp;A111&amp;""</f>
        <v>Sum of Above Lines beginning on Line 500</v>
      </c>
      <c r="J132" s="144"/>
    </row>
    <row r="133" spans="1:10" x14ac:dyDescent="0.2">
      <c r="A133" s="65"/>
      <c r="B133" s="83"/>
      <c r="C133" s="83"/>
      <c r="D133" s="85"/>
      <c r="E133" s="85"/>
      <c r="F133" s="85"/>
      <c r="G133" s="85"/>
      <c r="H133" s="85"/>
      <c r="I133" s="201"/>
      <c r="J133" s="144"/>
    </row>
    <row r="134" spans="1:10" x14ac:dyDescent="0.2">
      <c r="A134" s="60"/>
      <c r="B134" s="182" t="s">
        <v>278</v>
      </c>
      <c r="C134" s="83"/>
      <c r="D134" s="85"/>
      <c r="E134" s="187"/>
      <c r="F134" s="187"/>
      <c r="G134" s="187"/>
      <c r="H134" s="187"/>
      <c r="I134" s="167" t="s">
        <v>192</v>
      </c>
      <c r="J134" s="144"/>
    </row>
    <row r="135" spans="1:10" x14ac:dyDescent="0.2">
      <c r="A135" s="60"/>
      <c r="C135" s="129" t="s">
        <v>167</v>
      </c>
      <c r="D135" s="129" t="s">
        <v>168</v>
      </c>
      <c r="E135" s="129" t="s">
        <v>184</v>
      </c>
      <c r="F135" s="129" t="s">
        <v>185</v>
      </c>
      <c r="G135" s="129" t="s">
        <v>186</v>
      </c>
      <c r="H135" s="129" t="s">
        <v>187</v>
      </c>
      <c r="I135" s="129" t="s">
        <v>188</v>
      </c>
      <c r="J135" s="144"/>
    </row>
    <row r="136" spans="1:10" x14ac:dyDescent="0.2">
      <c r="A136" s="169">
        <v>700</v>
      </c>
      <c r="B136" s="212">
        <v>283</v>
      </c>
      <c r="C136" s="206" t="s">
        <v>223</v>
      </c>
      <c r="D136" s="221">
        <v>0</v>
      </c>
      <c r="E136" s="173">
        <v>0</v>
      </c>
      <c r="F136" s="173"/>
      <c r="G136" s="173"/>
      <c r="H136" s="173"/>
      <c r="I136" s="175" t="s">
        <v>239</v>
      </c>
      <c r="J136" s="175"/>
    </row>
    <row r="137" spans="1:10" x14ac:dyDescent="0.2">
      <c r="A137" s="169">
        <f t="shared" ref="A137:A142" si="11">A136+1</f>
        <v>701</v>
      </c>
      <c r="B137" s="212">
        <v>283</v>
      </c>
      <c r="C137" s="206" t="s">
        <v>279</v>
      </c>
      <c r="D137" s="221">
        <v>-8532622</v>
      </c>
      <c r="E137" s="173">
        <v>-8532622</v>
      </c>
      <c r="F137" s="173"/>
      <c r="G137" s="173"/>
      <c r="H137" s="173"/>
      <c r="I137" s="175" t="s">
        <v>239</v>
      </c>
      <c r="J137" s="175"/>
    </row>
    <row r="138" spans="1:10" x14ac:dyDescent="0.2">
      <c r="A138" s="169">
        <f t="shared" si="11"/>
        <v>702</v>
      </c>
      <c r="B138" s="212">
        <v>283</v>
      </c>
      <c r="C138" s="206" t="s">
        <v>280</v>
      </c>
      <c r="D138" s="221">
        <v>-1253548</v>
      </c>
      <c r="E138" s="173">
        <v>-1253548</v>
      </c>
      <c r="F138" s="173"/>
      <c r="G138" s="173"/>
      <c r="H138" s="173"/>
      <c r="I138" s="175" t="s">
        <v>239</v>
      </c>
      <c r="J138" s="175"/>
    </row>
    <row r="139" spans="1:10" x14ac:dyDescent="0.2">
      <c r="A139" s="169">
        <f t="shared" si="11"/>
        <v>703</v>
      </c>
      <c r="B139" s="212">
        <v>283</v>
      </c>
      <c r="C139" s="206" t="s">
        <v>281</v>
      </c>
      <c r="D139" s="221">
        <v>1317246</v>
      </c>
      <c r="E139" s="173">
        <v>1317246</v>
      </c>
      <c r="F139" s="173"/>
      <c r="G139" s="173"/>
      <c r="H139" s="173"/>
      <c r="I139" s="175" t="s">
        <v>239</v>
      </c>
      <c r="J139" s="175"/>
    </row>
    <row r="140" spans="1:10" x14ac:dyDescent="0.2">
      <c r="A140" s="169">
        <f t="shared" si="11"/>
        <v>704</v>
      </c>
      <c r="B140" s="212">
        <v>283</v>
      </c>
      <c r="C140" s="206" t="s">
        <v>240</v>
      </c>
      <c r="D140" s="221">
        <v>-595473955</v>
      </c>
      <c r="E140" s="173">
        <v>-595473955</v>
      </c>
      <c r="F140" s="173"/>
      <c r="G140" s="173"/>
      <c r="H140" s="173"/>
      <c r="I140" s="175" t="s">
        <v>239</v>
      </c>
      <c r="J140" s="175"/>
    </row>
    <row r="141" spans="1:10" x14ac:dyDescent="0.2">
      <c r="A141" s="169">
        <f t="shared" si="11"/>
        <v>705</v>
      </c>
      <c r="B141" s="212">
        <v>283</v>
      </c>
      <c r="C141" s="206" t="s">
        <v>282</v>
      </c>
      <c r="D141" s="221">
        <v>80032950</v>
      </c>
      <c r="E141" s="173">
        <v>80032950</v>
      </c>
      <c r="F141" s="173"/>
      <c r="G141" s="173"/>
      <c r="H141" s="173"/>
      <c r="I141" s="175" t="s">
        <v>239</v>
      </c>
      <c r="J141" s="175"/>
    </row>
    <row r="142" spans="1:10" x14ac:dyDescent="0.2">
      <c r="A142" s="169">
        <f t="shared" si="11"/>
        <v>706</v>
      </c>
      <c r="B142" s="222" t="s">
        <v>235</v>
      </c>
      <c r="C142" s="218"/>
      <c r="D142" s="219"/>
      <c r="E142" s="174"/>
      <c r="F142" s="174"/>
      <c r="G142" s="174"/>
      <c r="H142" s="174"/>
      <c r="I142" s="143"/>
      <c r="J142" s="143"/>
    </row>
    <row r="143" spans="1:10" x14ac:dyDescent="0.2">
      <c r="A143" s="65"/>
      <c r="B143" s="214"/>
      <c r="C143" s="215"/>
      <c r="D143" s="216"/>
      <c r="E143" s="184"/>
      <c r="F143" s="184"/>
      <c r="G143" s="184"/>
      <c r="H143" s="184"/>
      <c r="I143" s="142"/>
      <c r="J143" s="142"/>
    </row>
    <row r="144" spans="1:10" x14ac:dyDescent="0.2">
      <c r="A144" s="65"/>
      <c r="B144" s="83"/>
      <c r="C144" s="129" t="s">
        <v>167</v>
      </c>
      <c r="D144" s="129" t="s">
        <v>168</v>
      </c>
      <c r="E144" s="129" t="s">
        <v>184</v>
      </c>
      <c r="F144" s="129" t="s">
        <v>185</v>
      </c>
      <c r="G144" s="129" t="s">
        <v>186</v>
      </c>
      <c r="H144" s="129" t="s">
        <v>187</v>
      </c>
      <c r="I144" s="150" t="s">
        <v>8</v>
      </c>
      <c r="J144" s="144"/>
    </row>
    <row r="145" spans="1:10" x14ac:dyDescent="0.2">
      <c r="A145" s="65">
        <v>800</v>
      </c>
      <c r="B145" s="144"/>
      <c r="C145" s="68" t="s">
        <v>283</v>
      </c>
      <c r="D145" s="85">
        <f>SUM(D136:D142)</f>
        <v>-523909929</v>
      </c>
      <c r="E145" s="85">
        <f>SUM(E136:E142)</f>
        <v>-523909929</v>
      </c>
      <c r="F145" s="85">
        <f>SUM(F136:F142)</f>
        <v>0</v>
      </c>
      <c r="G145" s="85">
        <f>SUM(G136:G142)</f>
        <v>0</v>
      </c>
      <c r="H145" s="85">
        <f>SUM(H136:H142)</f>
        <v>0</v>
      </c>
      <c r="I145" s="157" t="str">
        <f>"Sum of Above Lines beginning on Line "&amp;A136&amp;""</f>
        <v>Sum of Above Lines beginning on Line 700</v>
      </c>
      <c r="J145" s="144"/>
    </row>
    <row r="146" spans="1:10" x14ac:dyDescent="0.2">
      <c r="A146" s="65"/>
      <c r="B146" s="144"/>
      <c r="C146" s="68"/>
      <c r="D146" s="85"/>
      <c r="E146" s="85"/>
      <c r="F146" s="85"/>
      <c r="G146" s="85"/>
      <c r="H146" s="85"/>
      <c r="I146" s="157"/>
      <c r="J146" s="144"/>
    </row>
    <row r="147" spans="1:10" x14ac:dyDescent="0.2">
      <c r="A147" s="65">
        <f>A145+1</f>
        <v>801</v>
      </c>
      <c r="B147" s="144"/>
      <c r="C147" s="68" t="s">
        <v>284</v>
      </c>
      <c r="D147" s="85">
        <f>D132+D145</f>
        <v>-2611923063</v>
      </c>
      <c r="E147" s="85">
        <f>E132+E145</f>
        <v>-2470056477.7265482</v>
      </c>
      <c r="F147" s="85">
        <f>F132+F145</f>
        <v>0</v>
      </c>
      <c r="G147" s="85">
        <f>G132+G145</f>
        <v>-141866585.27345198</v>
      </c>
      <c r="H147" s="85">
        <f>H132+H145</f>
        <v>0</v>
      </c>
      <c r="I147" s="192" t="str">
        <f>"Line "&amp;A132&amp;" + Line "&amp;A145&amp;""</f>
        <v>Line 650 + Line 800</v>
      </c>
      <c r="J147" s="144"/>
    </row>
    <row r="148" spans="1:10" x14ac:dyDescent="0.2">
      <c r="A148" s="191">
        <f>+A147+1</f>
        <v>802</v>
      </c>
      <c r="B148" s="146"/>
      <c r="C148" s="146" t="s">
        <v>243</v>
      </c>
      <c r="D148" s="223"/>
      <c r="E148" s="223"/>
      <c r="F148" s="188"/>
      <c r="G148" s="193">
        <v>0.10972259682913496</v>
      </c>
      <c r="H148" s="193">
        <v>3.7193704666678068E-2</v>
      </c>
      <c r="I148" s="194" t="s">
        <v>762</v>
      </c>
      <c r="J148" s="144"/>
    </row>
    <row r="149" spans="1:10" x14ac:dyDescent="0.2">
      <c r="A149" s="191">
        <f>+A148+1</f>
        <v>803</v>
      </c>
      <c r="B149" s="146"/>
      <c r="C149" s="146" t="s">
        <v>285</v>
      </c>
      <c r="D149" s="188">
        <f>SUM(F149:H149)</f>
        <v>-15565970.139485067</v>
      </c>
      <c r="E149" s="188"/>
      <c r="F149" s="195">
        <f>+F147</f>
        <v>0</v>
      </c>
      <c r="G149" s="196">
        <f>+G147*G148</f>
        <v>-15565970.139485067</v>
      </c>
      <c r="H149" s="196">
        <f>+H147*H148</f>
        <v>0</v>
      </c>
      <c r="I149" s="192" t="str">
        <f>"Line "&amp;A147&amp;" * Line "&amp;A148&amp;" for Cols 5 and 6.  Col. 4 100% ISO."</f>
        <v>Line 801 * Line 802 for Cols 5 and 6.  Col. 4 100% ISO.</v>
      </c>
      <c r="J149" s="144"/>
    </row>
    <row r="150" spans="1:10" x14ac:dyDescent="0.2">
      <c r="A150" s="65"/>
      <c r="B150" s="144"/>
      <c r="C150" s="197" t="s">
        <v>245</v>
      </c>
      <c r="D150" s="85"/>
      <c r="E150" s="85"/>
      <c r="F150" s="85"/>
      <c r="G150" s="85"/>
      <c r="H150" s="85"/>
      <c r="I150" s="192"/>
      <c r="J150" s="187"/>
    </row>
    <row r="151" spans="1:10" x14ac:dyDescent="0.2">
      <c r="A151" s="65"/>
      <c r="B151" s="144"/>
      <c r="C151" s="68"/>
      <c r="D151" s="85"/>
      <c r="E151" s="85"/>
      <c r="F151" s="85"/>
      <c r="G151" s="85"/>
      <c r="H151" s="85"/>
      <c r="I151" s="192"/>
      <c r="J151" s="144"/>
    </row>
    <row r="152" spans="1:10" x14ac:dyDescent="0.2">
      <c r="A152" s="65">
        <f>A149+1</f>
        <v>804</v>
      </c>
      <c r="C152" s="146" t="s">
        <v>286</v>
      </c>
      <c r="D152" s="198">
        <v>2611923063</v>
      </c>
      <c r="E152" s="199" t="str">
        <f>"Must match amount on Line "&amp;A147&amp;", Col. 2"</f>
        <v>Must match amount on Line 801, Col. 2</v>
      </c>
      <c r="F152" s="188"/>
      <c r="G152" s="188"/>
      <c r="H152" s="188"/>
      <c r="I152" s="157" t="s">
        <v>287</v>
      </c>
    </row>
    <row r="153" spans="1:10" x14ac:dyDescent="0.2">
      <c r="A153" s="124"/>
      <c r="B153" s="224"/>
      <c r="C153" s="224"/>
      <c r="D153" s="224"/>
      <c r="E153" s="224"/>
      <c r="F153" s="224"/>
      <c r="G153" s="224"/>
      <c r="H153" s="224"/>
      <c r="I153" s="225"/>
      <c r="J153" s="224"/>
    </row>
    <row r="154" spans="1:10" x14ac:dyDescent="0.2">
      <c r="A154" s="124"/>
      <c r="B154" s="145" t="s">
        <v>288</v>
      </c>
      <c r="C154" s="224"/>
      <c r="D154" s="224"/>
      <c r="E154" s="224"/>
      <c r="F154" s="224"/>
      <c r="G154" s="224"/>
      <c r="H154" s="224"/>
      <c r="I154" s="224"/>
      <c r="J154" s="224"/>
    </row>
    <row r="155" spans="1:10" x14ac:dyDescent="0.2">
      <c r="A155" s="124"/>
      <c r="B155" s="145"/>
      <c r="C155" s="224"/>
      <c r="D155" s="224"/>
      <c r="E155" s="224"/>
      <c r="F155" s="224"/>
      <c r="G155" s="224"/>
      <c r="H155" s="224"/>
      <c r="I155" s="224"/>
      <c r="J155" s="224"/>
    </row>
    <row r="156" spans="1:10" x14ac:dyDescent="0.2">
      <c r="A156" s="65"/>
      <c r="B156" s="145"/>
      <c r="C156" s="129" t="s">
        <v>167</v>
      </c>
      <c r="D156" s="129" t="s">
        <v>168</v>
      </c>
      <c r="E156" s="129" t="s">
        <v>184</v>
      </c>
      <c r="F156" s="129" t="s">
        <v>185</v>
      </c>
      <c r="G156" s="129" t="s">
        <v>186</v>
      </c>
      <c r="H156" s="129" t="s">
        <v>187</v>
      </c>
      <c r="I156" s="129" t="s">
        <v>188</v>
      </c>
      <c r="J156" s="224"/>
    </row>
    <row r="157" spans="1:10" x14ac:dyDescent="0.2">
      <c r="A157" s="65"/>
      <c r="B157" s="163"/>
      <c r="C157" s="163"/>
      <c r="D157" s="210" t="s">
        <v>189</v>
      </c>
      <c r="E157" s="210" t="s">
        <v>190</v>
      </c>
      <c r="F157" s="210"/>
      <c r="G157" s="210"/>
      <c r="H157" s="210" t="s">
        <v>191</v>
      </c>
      <c r="I157" s="144"/>
      <c r="J157" s="224"/>
    </row>
    <row r="158" spans="1:10" x14ac:dyDescent="0.2">
      <c r="A158" s="65"/>
      <c r="B158" s="168" t="s">
        <v>289</v>
      </c>
      <c r="C158" s="226" t="s">
        <v>176</v>
      </c>
      <c r="D158" s="211" t="s">
        <v>195</v>
      </c>
      <c r="E158" s="211" t="s">
        <v>196</v>
      </c>
      <c r="F158" s="211" t="s">
        <v>197</v>
      </c>
      <c r="G158" s="211" t="s">
        <v>198</v>
      </c>
      <c r="H158" s="211" t="s">
        <v>199</v>
      </c>
      <c r="I158" s="168" t="s">
        <v>6</v>
      </c>
      <c r="J158" s="224"/>
    </row>
    <row r="159" spans="1:10" x14ac:dyDescent="0.2">
      <c r="A159" s="124"/>
      <c r="B159" s="224"/>
      <c r="C159" s="224"/>
      <c r="D159" s="224"/>
      <c r="E159" s="224"/>
      <c r="F159" s="224"/>
      <c r="G159" s="224"/>
      <c r="H159" s="224"/>
      <c r="I159" s="224"/>
      <c r="J159" s="224"/>
    </row>
    <row r="160" spans="1:10" x14ac:dyDescent="0.2">
      <c r="A160" s="65">
        <f>A152+1</f>
        <v>805</v>
      </c>
      <c r="B160" s="227">
        <v>236</v>
      </c>
      <c r="C160" s="68" t="s">
        <v>290</v>
      </c>
      <c r="D160" s="160">
        <v>-192548042</v>
      </c>
      <c r="E160" s="160"/>
      <c r="F160" s="160"/>
      <c r="G160" s="160"/>
      <c r="H160" s="107"/>
      <c r="I160" s="70" t="s">
        <v>291</v>
      </c>
      <c r="J160" s="68"/>
    </row>
    <row r="161" spans="1:10" x14ac:dyDescent="0.2">
      <c r="A161" s="65">
        <f>A160+1</f>
        <v>806</v>
      </c>
      <c r="B161" s="227"/>
      <c r="C161" s="68" t="s">
        <v>292</v>
      </c>
      <c r="D161" s="160">
        <v>-714594</v>
      </c>
      <c r="E161" s="160"/>
      <c r="F161" s="160"/>
      <c r="G161" s="160"/>
      <c r="H161" s="107"/>
      <c r="I161" s="70" t="s">
        <v>293</v>
      </c>
      <c r="J161" s="68"/>
    </row>
    <row r="162" spans="1:10" x14ac:dyDescent="0.2">
      <c r="A162" s="65">
        <f t="shared" ref="A162:A163" si="12">A161+1</f>
        <v>807</v>
      </c>
      <c r="B162" s="227"/>
      <c r="C162" s="68" t="s">
        <v>294</v>
      </c>
      <c r="D162" s="152">
        <f>D160+D161</f>
        <v>-193262636</v>
      </c>
      <c r="G162" s="152"/>
      <c r="H162" s="68"/>
      <c r="I162" s="192" t="str">
        <f>"Line "&amp;A160&amp;" + Line "&amp;A161&amp;""</f>
        <v>Line 805 + Line 806</v>
      </c>
      <c r="J162" s="68"/>
    </row>
    <row r="163" spans="1:10" x14ac:dyDescent="0.2">
      <c r="A163" s="65">
        <f t="shared" si="12"/>
        <v>808</v>
      </c>
      <c r="B163" s="224"/>
      <c r="C163" s="146" t="s">
        <v>295</v>
      </c>
      <c r="D163" s="228"/>
      <c r="E163" s="152"/>
      <c r="F163" s="152"/>
      <c r="G163" s="193">
        <v>0.10972259682913496</v>
      </c>
      <c r="H163" s="229"/>
      <c r="I163" s="225" t="s">
        <v>296</v>
      </c>
      <c r="J163" s="124"/>
    </row>
    <row r="164" spans="1:10" x14ac:dyDescent="0.2">
      <c r="A164" s="65">
        <f>+A163+1</f>
        <v>809</v>
      </c>
      <c r="B164" s="208"/>
      <c r="C164" s="124" t="s">
        <v>176</v>
      </c>
      <c r="D164" s="188">
        <f>E164+G164</f>
        <v>193262636</v>
      </c>
      <c r="E164" s="195">
        <f>-(D162+G164)</f>
        <v>172057357.70803612</v>
      </c>
      <c r="F164" s="195"/>
      <c r="G164" s="196">
        <f>-(D162*G163)</f>
        <v>21205278.291963864</v>
      </c>
      <c r="H164" s="195"/>
      <c r="I164" s="192" t="str">
        <f>"- Line "&amp;A162&amp;" * Line "&amp;A163&amp;""</f>
        <v>- Line 807 * Line 808</v>
      </c>
      <c r="J164" s="124"/>
    </row>
    <row r="165" spans="1:10" x14ac:dyDescent="0.2">
      <c r="A165" s="191"/>
      <c r="B165" s="146"/>
      <c r="C165" s="230" t="s">
        <v>297</v>
      </c>
      <c r="D165" s="188"/>
      <c r="E165" s="188"/>
      <c r="F165" s="188"/>
      <c r="G165" s="231"/>
      <c r="H165" s="231"/>
      <c r="I165" s="232" t="s">
        <v>298</v>
      </c>
      <c r="J165" s="224"/>
    </row>
    <row r="166" spans="1:10" x14ac:dyDescent="0.2">
      <c r="A166" s="65"/>
      <c r="B166" s="208"/>
      <c r="C166" s="197"/>
      <c r="D166" s="188"/>
      <c r="E166" s="188"/>
      <c r="F166" s="188"/>
      <c r="G166" s="188"/>
      <c r="H166" s="188"/>
      <c r="I166" s="224"/>
      <c r="J166" s="224"/>
    </row>
    <row r="167" spans="1:10" x14ac:dyDescent="0.2">
      <c r="A167" s="124"/>
      <c r="B167" s="224"/>
      <c r="C167" s="233" t="s">
        <v>299</v>
      </c>
      <c r="D167" s="224"/>
      <c r="E167" s="224"/>
      <c r="F167" s="224"/>
      <c r="G167" s="224"/>
      <c r="H167" s="224"/>
      <c r="I167" s="224"/>
      <c r="J167" s="234"/>
    </row>
    <row r="168" spans="1:10" x14ac:dyDescent="0.2">
      <c r="B168"/>
      <c r="C168" s="109" t="s">
        <v>300</v>
      </c>
      <c r="D168" s="235"/>
      <c r="E168" s="235"/>
      <c r="F168" s="235"/>
      <c r="G168" s="235"/>
      <c r="H168"/>
      <c r="I168"/>
      <c r="J168"/>
    </row>
    <row r="169" spans="1:10" x14ac:dyDescent="0.2">
      <c r="B169"/>
      <c r="C169" s="109" t="s">
        <v>301</v>
      </c>
      <c r="D169" s="235"/>
      <c r="E169" s="235"/>
      <c r="F169" s="235"/>
      <c r="G169" s="235"/>
      <c r="H169"/>
      <c r="I169"/>
      <c r="J169"/>
    </row>
    <row r="170" spans="1:10" x14ac:dyDescent="0.2">
      <c r="B170"/>
      <c r="C170" s="109" t="s">
        <v>302</v>
      </c>
      <c r="D170" s="235"/>
      <c r="E170" s="235"/>
      <c r="F170" s="235"/>
      <c r="G170" s="235"/>
      <c r="H170"/>
      <c r="I170"/>
      <c r="J170"/>
    </row>
    <row r="171" spans="1:10" x14ac:dyDescent="0.2">
      <c r="B171"/>
      <c r="C171" s="142" t="s">
        <v>763</v>
      </c>
      <c r="D171" s="235"/>
      <c r="E171" s="235"/>
      <c r="F171" s="235"/>
      <c r="G171" s="235"/>
      <c r="H171"/>
      <c r="I171"/>
      <c r="J171"/>
    </row>
    <row r="172" spans="1:10" x14ac:dyDescent="0.2">
      <c r="B172"/>
      <c r="C172" s="142" t="s">
        <v>303</v>
      </c>
      <c r="D172" s="235"/>
      <c r="E172" s="235"/>
      <c r="F172" s="235"/>
      <c r="G172" s="235"/>
      <c r="H172"/>
      <c r="I172"/>
      <c r="J172"/>
    </row>
    <row r="173" spans="1:10" x14ac:dyDescent="0.2">
      <c r="B173"/>
      <c r="C173" s="142" t="s">
        <v>304</v>
      </c>
      <c r="D173" s="142"/>
      <c r="E173" s="142"/>
      <c r="F173" s="142"/>
      <c r="G173" s="142"/>
      <c r="J173"/>
    </row>
    <row r="174" spans="1:10" x14ac:dyDescent="0.2">
      <c r="B174"/>
      <c r="C174" s="142" t="s">
        <v>305</v>
      </c>
      <c r="D174" s="142"/>
      <c r="E174" s="142"/>
      <c r="F174" s="142"/>
      <c r="G174" s="142"/>
      <c r="J174"/>
    </row>
    <row r="175" spans="1:10" x14ac:dyDescent="0.2">
      <c r="B175"/>
      <c r="C175" s="142"/>
      <c r="D175" s="142"/>
      <c r="E175" s="142"/>
      <c r="F175" s="142"/>
      <c r="G175" s="142"/>
      <c r="J175"/>
    </row>
    <row r="176" spans="1:10" x14ac:dyDescent="0.2">
      <c r="B176"/>
      <c r="C176" s="142" t="s">
        <v>306</v>
      </c>
      <c r="D176" s="142"/>
      <c r="E176" s="142"/>
      <c r="F176" s="142"/>
      <c r="G176" s="142"/>
      <c r="J176"/>
    </row>
    <row r="177" spans="2:10" x14ac:dyDescent="0.2">
      <c r="B177"/>
      <c r="C177" s="142" t="s">
        <v>307</v>
      </c>
      <c r="D177" s="142"/>
      <c r="E177" s="142"/>
      <c r="F177" s="142"/>
      <c r="G177" s="142"/>
      <c r="J177"/>
    </row>
    <row r="178" spans="2:10" x14ac:dyDescent="0.2">
      <c r="B178"/>
      <c r="C178" s="142" t="s">
        <v>308</v>
      </c>
      <c r="D178" s="142"/>
      <c r="E178" s="142"/>
      <c r="F178" s="142"/>
      <c r="G178" s="142"/>
      <c r="J178"/>
    </row>
    <row r="179" spans="2:10" x14ac:dyDescent="0.2">
      <c r="B179"/>
      <c r="C179" s="57"/>
      <c r="D179" s="57"/>
      <c r="E179" s="65" t="s">
        <v>49</v>
      </c>
      <c r="F179" s="57"/>
      <c r="G179" s="103" t="s">
        <v>309</v>
      </c>
      <c r="J179"/>
    </row>
    <row r="180" spans="2:10" x14ac:dyDescent="0.2">
      <c r="B180"/>
      <c r="C180" s="57"/>
      <c r="D180" s="57"/>
      <c r="E180" s="101" t="s">
        <v>54</v>
      </c>
      <c r="F180" s="57"/>
      <c r="G180" s="101" t="s">
        <v>310</v>
      </c>
      <c r="J180"/>
    </row>
    <row r="181" spans="2:10" ht="15" x14ac:dyDescent="0.25">
      <c r="B181"/>
      <c r="C181" s="236" t="s">
        <v>311</v>
      </c>
      <c r="D181" s="237"/>
      <c r="E181" s="68" t="s">
        <v>312</v>
      </c>
      <c r="F181" s="237"/>
      <c r="G181" s="238">
        <v>1105580075</v>
      </c>
      <c r="I181" s="239"/>
      <c r="J181"/>
    </row>
    <row r="182" spans="2:10" ht="15" x14ac:dyDescent="0.25">
      <c r="B182"/>
      <c r="C182" s="240" t="s">
        <v>313</v>
      </c>
      <c r="D182" s="237"/>
      <c r="E182" s="68" t="s">
        <v>314</v>
      </c>
      <c r="F182" s="237"/>
      <c r="G182" s="241">
        <v>601224</v>
      </c>
      <c r="I182" s="239"/>
      <c r="J182"/>
    </row>
    <row r="183" spans="2:10" ht="15" x14ac:dyDescent="0.25">
      <c r="B183"/>
      <c r="C183" s="240" t="s">
        <v>315</v>
      </c>
      <c r="D183" s="237"/>
      <c r="E183" s="68" t="s">
        <v>316</v>
      </c>
      <c r="F183" s="237"/>
      <c r="G183" s="242">
        <v>984704</v>
      </c>
      <c r="I183" s="239"/>
      <c r="J183"/>
    </row>
    <row r="184" spans="2:10" ht="15" x14ac:dyDescent="0.25">
      <c r="B184"/>
      <c r="C184" s="236" t="s">
        <v>317</v>
      </c>
      <c r="D184" s="237"/>
      <c r="E184" s="68" t="s">
        <v>318</v>
      </c>
      <c r="F184" s="237"/>
      <c r="G184" s="243">
        <f>SUM(G181:G183)</f>
        <v>1107166003</v>
      </c>
      <c r="J184"/>
    </row>
    <row r="185" spans="2:10" x14ac:dyDescent="0.2">
      <c r="B185"/>
      <c r="C185" s="71" t="s">
        <v>319</v>
      </c>
      <c r="D185" s="57"/>
      <c r="E185" s="244" t="s">
        <v>320</v>
      </c>
      <c r="F185" s="57"/>
      <c r="G185" s="113">
        <f>(G182+G183)/G184</f>
        <v>1.4324211506700319E-3</v>
      </c>
      <c r="J185"/>
    </row>
    <row r="186" spans="2:10" x14ac:dyDescent="0.2">
      <c r="B186"/>
      <c r="C186" s="245" t="s">
        <v>321</v>
      </c>
      <c r="D186" s="235"/>
      <c r="E186" s="235"/>
      <c r="F186" s="235"/>
      <c r="G186" s="235"/>
      <c r="J186"/>
    </row>
    <row r="187" spans="2:10" x14ac:dyDescent="0.2">
      <c r="B187"/>
      <c r="C187" s="57"/>
      <c r="D187" s="57"/>
      <c r="E187" s="65" t="s">
        <v>49</v>
      </c>
      <c r="F187" s="57"/>
      <c r="G187" s="103" t="s">
        <v>309</v>
      </c>
      <c r="J187"/>
    </row>
    <row r="188" spans="2:10" x14ac:dyDescent="0.2">
      <c r="B188"/>
      <c r="C188" s="57"/>
      <c r="D188" s="57"/>
      <c r="E188" s="101" t="s">
        <v>54</v>
      </c>
      <c r="F188" s="57"/>
      <c r="G188" s="101" t="s">
        <v>310</v>
      </c>
      <c r="J188"/>
    </row>
    <row r="189" spans="2:10" ht="15" x14ac:dyDescent="0.25">
      <c r="B189"/>
      <c r="C189" s="70" t="s">
        <v>322</v>
      </c>
      <c r="D189" s="237"/>
      <c r="E189" s="237" t="s">
        <v>323</v>
      </c>
      <c r="F189" s="237"/>
      <c r="G189" s="238">
        <v>38274808694</v>
      </c>
      <c r="I189" s="239"/>
      <c r="J189"/>
    </row>
    <row r="190" spans="2:10" ht="15" x14ac:dyDescent="0.25">
      <c r="B190"/>
      <c r="C190" s="240" t="s">
        <v>324</v>
      </c>
      <c r="D190" s="237"/>
      <c r="E190" s="237" t="s">
        <v>325</v>
      </c>
      <c r="F190" s="237"/>
      <c r="G190" s="241">
        <v>4099778</v>
      </c>
      <c r="J190"/>
    </row>
    <row r="191" spans="2:10" ht="15" x14ac:dyDescent="0.25">
      <c r="B191"/>
      <c r="C191" s="240" t="s">
        <v>326</v>
      </c>
      <c r="D191" s="237"/>
      <c r="E191" s="237" t="s">
        <v>327</v>
      </c>
      <c r="F191" s="237"/>
      <c r="G191" s="241">
        <v>26821693</v>
      </c>
      <c r="I191" s="239"/>
      <c r="J191"/>
    </row>
    <row r="192" spans="2:10" ht="15" x14ac:dyDescent="0.25">
      <c r="B192"/>
      <c r="C192" s="70" t="s">
        <v>328</v>
      </c>
      <c r="D192" s="237"/>
      <c r="E192" s="68" t="s">
        <v>329</v>
      </c>
      <c r="F192" s="237"/>
      <c r="G192" s="243">
        <f>SUM(G189:G191)</f>
        <v>38305730165</v>
      </c>
      <c r="H192" s="235"/>
      <c r="I192" s="235"/>
      <c r="J192" s="57"/>
    </row>
    <row r="193" spans="2:10" x14ac:dyDescent="0.2">
      <c r="B193"/>
      <c r="C193" s="71" t="s">
        <v>330</v>
      </c>
      <c r="D193" s="57"/>
      <c r="E193" s="244" t="s">
        <v>331</v>
      </c>
      <c r="F193" s="57"/>
      <c r="G193" s="113">
        <f>(G190+G191)/G192</f>
        <v>8.072283406896912E-4</v>
      </c>
      <c r="H193" s="235"/>
      <c r="I193" s="235"/>
      <c r="J193" s="57"/>
    </row>
    <row r="194" spans="2:10" x14ac:dyDescent="0.2">
      <c r="B194"/>
      <c r="C194" s="142" t="s">
        <v>332</v>
      </c>
      <c r="D194" s="235"/>
      <c r="E194" s="235"/>
      <c r="F194" s="235"/>
      <c r="G194" s="235"/>
      <c r="H194" s="235"/>
      <c r="I194" s="235"/>
      <c r="J194" s="57"/>
    </row>
    <row r="195" spans="2:10" x14ac:dyDescent="0.2">
      <c r="B195"/>
      <c r="C195" s="142" t="s">
        <v>333</v>
      </c>
      <c r="D195" s="235"/>
      <c r="E195" s="235"/>
      <c r="F195" s="235"/>
      <c r="G195" s="235"/>
      <c r="H195" s="235"/>
      <c r="I195" s="235"/>
      <c r="J195" s="57"/>
    </row>
    <row r="196" spans="2:10" x14ac:dyDescent="0.2">
      <c r="B196"/>
      <c r="C196" s="142" t="s">
        <v>334</v>
      </c>
      <c r="D196" s="235"/>
      <c r="E196" s="235"/>
      <c r="F196" s="235"/>
      <c r="G196" s="235"/>
      <c r="H196" s="235"/>
      <c r="I196" s="235"/>
      <c r="J196" s="57"/>
    </row>
    <row r="197" spans="2:10" x14ac:dyDescent="0.2">
      <c r="B197"/>
      <c r="C197" s="142" t="s">
        <v>335</v>
      </c>
      <c r="D197" s="235"/>
      <c r="E197" s="235"/>
      <c r="F197" s="235"/>
      <c r="G197" s="235"/>
      <c r="H197" s="235"/>
      <c r="I197" s="235"/>
      <c r="J197" s="57"/>
    </row>
    <row r="198" spans="2:10" x14ac:dyDescent="0.2">
      <c r="C198" s="68" t="s">
        <v>336</v>
      </c>
      <c r="D198" s="246"/>
      <c r="E198" s="246"/>
      <c r="F198" s="246"/>
      <c r="G198" s="246"/>
      <c r="H198" s="246"/>
      <c r="I198" s="246"/>
      <c r="J198" s="235"/>
    </row>
    <row r="201" spans="2:10" ht="15.75" x14ac:dyDescent="0.25">
      <c r="C201" s="247"/>
    </row>
  </sheetData>
  <protectedRanges>
    <protectedRange password="F1C4" sqref="D20:E30 F32:F33 F25:F30 F45 E15:E19 D14:D15 D17:D18 B14:C30 I60 B13 F20 J32:J35 B7:C12 I130" name="AAReport1_23_1_1_2"/>
    <protectedRange password="F1C4" sqref="D19" name="AAReport1_23_1_1_1_1"/>
  </protectedRanges>
  <mergeCells count="1">
    <mergeCell ref="I50:J50"/>
  </mergeCells>
  <conditionalFormatting sqref="B124 D111:D124 B136:B143 D136:D143">
    <cfRule type="expression" dxfId="5" priority="2" stopIfTrue="1">
      <formula>Formulas</formula>
    </cfRule>
  </conditionalFormatting>
  <conditionalFormatting sqref="B111:B123 D130 B130">
    <cfRule type="expression" dxfId="4" priority="3" stopIfTrue="1">
      <formula>Formulas</formula>
    </cfRule>
  </conditionalFormatting>
  <conditionalFormatting sqref="C130 C111:C124 C136:C143">
    <cfRule type="expression" dxfId="3" priority="1" stopIfTrue="1">
      <formula>#REF!&lt;&gt;""</formula>
    </cfRule>
  </conditionalFormatting>
  <pageMargins left="0.75" right="0.75" top="1" bottom="1" header="0.5" footer="0.5"/>
  <pageSetup scale="65" orientation="landscape" cellComments="asDisplayed" r:id="rId1"/>
  <headerFooter alignWithMargins="0">
    <oddHeader>&amp;CSchedule 9
ADIT
(Revised 2012 True Up TRR)&amp;RTO10 Draft Annual Update
Attachment 4
WP-Schedule 3-One Time Adj &amp; True Up Adj
Page &amp;P of &amp;N</oddHeader>
    <oddFooter>&amp;R&amp;A</oddFooter>
  </headerFooter>
  <rowBreaks count="4" manualBreakCount="4">
    <brk id="24" max="16383" man="1"/>
    <brk id="63" max="16383" man="1"/>
    <brk id="105" max="9" man="1"/>
    <brk id="1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M428"/>
  <sheetViews>
    <sheetView zoomScaleNormal="100" workbookViewId="0"/>
  </sheetViews>
  <sheetFormatPr defaultRowHeight="12.75" x14ac:dyDescent="0.2"/>
  <cols>
    <col min="1" max="1" width="4.7109375" style="57"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57" bestFit="1" customWidth="1"/>
    <col min="13" max="13" width="13.140625" bestFit="1" customWidth="1"/>
  </cols>
  <sheetData>
    <row r="1" spans="1:12" x14ac:dyDescent="0.2">
      <c r="A1" s="79" t="s">
        <v>416</v>
      </c>
      <c r="K1" s="56"/>
    </row>
    <row r="2" spans="1:12" x14ac:dyDescent="0.2">
      <c r="A2" s="79"/>
      <c r="K2" s="56"/>
    </row>
    <row r="3" spans="1:12" x14ac:dyDescent="0.2">
      <c r="A3" s="79"/>
      <c r="B3" s="124" t="s">
        <v>415</v>
      </c>
      <c r="K3" s="56"/>
    </row>
    <row r="4" spans="1:12" x14ac:dyDescent="0.2">
      <c r="B4" s="124" t="s">
        <v>414</v>
      </c>
      <c r="K4" s="56"/>
      <c r="L4" s="68"/>
    </row>
    <row r="5" spans="1:12" x14ac:dyDescent="0.2">
      <c r="B5" s="124"/>
      <c r="K5" s="56"/>
    </row>
    <row r="6" spans="1:12" x14ac:dyDescent="0.2">
      <c r="A6" s="68"/>
      <c r="B6" s="56" t="s">
        <v>413</v>
      </c>
      <c r="K6" s="56"/>
    </row>
    <row r="7" spans="1:12" x14ac:dyDescent="0.2">
      <c r="A7" s="68"/>
      <c r="B7" s="56"/>
      <c r="D7" s="129" t="s">
        <v>167</v>
      </c>
      <c r="E7" s="129" t="s">
        <v>168</v>
      </c>
      <c r="F7" s="129" t="s">
        <v>184</v>
      </c>
      <c r="G7" s="129" t="s">
        <v>185</v>
      </c>
      <c r="H7" s="129" t="s">
        <v>186</v>
      </c>
      <c r="I7" s="129" t="s">
        <v>187</v>
      </c>
      <c r="J7" s="314"/>
      <c r="K7" s="56"/>
      <c r="L7" s="314"/>
    </row>
    <row r="8" spans="1:12" x14ac:dyDescent="0.2">
      <c r="D8" s="208" t="s">
        <v>412</v>
      </c>
      <c r="J8" s="57"/>
      <c r="K8" s="57"/>
    </row>
    <row r="9" spans="1:12" x14ac:dyDescent="0.2">
      <c r="D9" s="313" t="s">
        <v>411</v>
      </c>
      <c r="J9" s="57"/>
      <c r="K9" s="57"/>
    </row>
    <row r="10" spans="1:12" x14ac:dyDescent="0.2">
      <c r="B10" s="60"/>
      <c r="J10" s="57"/>
      <c r="K10" s="57"/>
    </row>
    <row r="11" spans="1:12" x14ac:dyDescent="0.2">
      <c r="B11" s="60"/>
      <c r="D11" s="60" t="s">
        <v>1</v>
      </c>
      <c r="F11" s="60" t="s">
        <v>410</v>
      </c>
      <c r="G11" s="60" t="s">
        <v>409</v>
      </c>
      <c r="H11" s="60"/>
      <c r="I11" s="60"/>
      <c r="J11" s="65"/>
      <c r="K11" s="124"/>
    </row>
    <row r="12" spans="1:12" x14ac:dyDescent="0.2">
      <c r="A12" s="102" t="s">
        <v>170</v>
      </c>
      <c r="B12" s="128" t="s">
        <v>19</v>
      </c>
      <c r="C12" s="128" t="s">
        <v>20</v>
      </c>
      <c r="D12" s="64" t="s">
        <v>408</v>
      </c>
      <c r="E12" s="64" t="s">
        <v>371</v>
      </c>
      <c r="F12" s="64" t="s">
        <v>407</v>
      </c>
      <c r="G12" s="64" t="s">
        <v>406</v>
      </c>
      <c r="H12" s="64" t="s">
        <v>405</v>
      </c>
      <c r="I12" s="64" t="s">
        <v>363</v>
      </c>
      <c r="J12" s="101"/>
      <c r="K12" s="124"/>
    </row>
    <row r="13" spans="1:12" x14ac:dyDescent="0.2">
      <c r="A13" s="65">
        <v>1</v>
      </c>
      <c r="B13" s="130" t="s">
        <v>9</v>
      </c>
      <c r="C13" s="262">
        <v>2011</v>
      </c>
      <c r="D13" s="88">
        <f t="shared" ref="D13:D25" si="0">SUM(E13:I13)+SUM(D33:G33)</f>
        <v>1272497840.0070703</v>
      </c>
      <c r="E13" s="312">
        <v>1055342874.3736817</v>
      </c>
      <c r="F13" s="271">
        <v>150997361.17012712</v>
      </c>
      <c r="G13" s="271">
        <v>30840968.271137845</v>
      </c>
      <c r="H13" s="271">
        <v>-73287.943056206728</v>
      </c>
      <c r="I13" s="271">
        <v>15400523.592885498</v>
      </c>
      <c r="J13" s="297"/>
    </row>
    <row r="14" spans="1:12" x14ac:dyDescent="0.2">
      <c r="A14" s="65">
        <f t="shared" ref="A14:A26" si="1">A13+1</f>
        <v>2</v>
      </c>
      <c r="B14" s="130" t="s">
        <v>10</v>
      </c>
      <c r="C14" s="262">
        <v>2012</v>
      </c>
      <c r="D14" s="88">
        <f t="shared" si="0"/>
        <v>1310275163.6203587</v>
      </c>
      <c r="E14" s="312">
        <v>1072044236.9440101</v>
      </c>
      <c r="F14" s="271">
        <v>164276614.02547273</v>
      </c>
      <c r="G14" s="271">
        <v>35977430.254513845</v>
      </c>
      <c r="H14" s="271">
        <v>-70360.766686206727</v>
      </c>
      <c r="I14" s="271">
        <v>16874555.694305498</v>
      </c>
      <c r="J14" s="297"/>
    </row>
    <row r="15" spans="1:12" x14ac:dyDescent="0.2">
      <c r="A15" s="65">
        <f t="shared" si="1"/>
        <v>3</v>
      </c>
      <c r="B15" s="118" t="s">
        <v>11</v>
      </c>
      <c r="C15" s="262">
        <v>2012</v>
      </c>
      <c r="D15" s="88">
        <f t="shared" si="0"/>
        <v>1227040693.7111251</v>
      </c>
      <c r="E15" s="312">
        <v>960770236.37290978</v>
      </c>
      <c r="F15" s="271">
        <v>180519660.41084775</v>
      </c>
      <c r="G15" s="271">
        <v>39507221.23990684</v>
      </c>
      <c r="H15" s="271">
        <v>-70400.379985206906</v>
      </c>
      <c r="I15" s="271">
        <v>22322691.225285497</v>
      </c>
      <c r="J15" s="297"/>
    </row>
    <row r="16" spans="1:12" x14ac:dyDescent="0.2">
      <c r="A16" s="65">
        <f t="shared" si="1"/>
        <v>4</v>
      </c>
      <c r="B16" s="118" t="s">
        <v>21</v>
      </c>
      <c r="C16" s="262">
        <v>2012</v>
      </c>
      <c r="D16" s="88">
        <f t="shared" si="0"/>
        <v>1307024174.3428807</v>
      </c>
      <c r="E16" s="312">
        <v>988047535.8430301</v>
      </c>
      <c r="F16" s="271">
        <v>215481737.07084772</v>
      </c>
      <c r="G16" s="271">
        <v>43998099.579906836</v>
      </c>
      <c r="H16" s="271">
        <v>-70400.379985206906</v>
      </c>
      <c r="I16" s="271">
        <v>30187616.765285503</v>
      </c>
      <c r="J16" s="297"/>
    </row>
    <row r="17" spans="1:11" ht="13.5" thickBot="1" x14ac:dyDescent="0.25">
      <c r="A17" s="65">
        <f t="shared" si="1"/>
        <v>5</v>
      </c>
      <c r="B17" s="130" t="s">
        <v>12</v>
      </c>
      <c r="C17" s="262">
        <v>2012</v>
      </c>
      <c r="D17" s="88">
        <f t="shared" si="0"/>
        <v>1265990290.2292488</v>
      </c>
      <c r="E17" s="312">
        <v>895041080.73767984</v>
      </c>
      <c r="F17" s="271">
        <v>236246479.17084771</v>
      </c>
      <c r="G17" s="271">
        <v>51334654.249906845</v>
      </c>
      <c r="H17" s="271">
        <v>-70400.379985206906</v>
      </c>
      <c r="I17" s="271">
        <v>42060940.955285512</v>
      </c>
      <c r="J17" s="297"/>
    </row>
    <row r="18" spans="1:11" x14ac:dyDescent="0.2">
      <c r="A18" s="65">
        <f t="shared" si="1"/>
        <v>6</v>
      </c>
      <c r="B18" s="118" t="s">
        <v>13</v>
      </c>
      <c r="C18" s="262">
        <v>2012</v>
      </c>
      <c r="D18" s="275">
        <f t="shared" si="0"/>
        <v>1328320641.0730867</v>
      </c>
      <c r="E18" s="312">
        <v>911319250.00435042</v>
      </c>
      <c r="F18" s="285">
        <v>263700658.81050852</v>
      </c>
      <c r="G18" s="271">
        <v>52770435.56000001</v>
      </c>
      <c r="H18" s="271">
        <v>-70400.379999999888</v>
      </c>
      <c r="I18" s="271">
        <v>55841316.640819997</v>
      </c>
      <c r="J18" s="297"/>
    </row>
    <row r="19" spans="1:11" x14ac:dyDescent="0.2">
      <c r="A19" s="65">
        <f t="shared" si="1"/>
        <v>7</v>
      </c>
      <c r="B19" s="118" t="s">
        <v>391</v>
      </c>
      <c r="C19" s="262">
        <v>2012</v>
      </c>
      <c r="D19" s="275">
        <f t="shared" si="0"/>
        <v>1284583716.3029988</v>
      </c>
      <c r="E19" s="312">
        <v>827168218.63923991</v>
      </c>
      <c r="F19" s="279">
        <v>286740404.97366595</v>
      </c>
      <c r="G19" s="276">
        <v>54352445.079999998</v>
      </c>
      <c r="H19" s="271">
        <v>-69345.540000000037</v>
      </c>
      <c r="I19" s="271">
        <v>68397745.786310002</v>
      </c>
      <c r="J19" s="297"/>
    </row>
    <row r="20" spans="1:11" x14ac:dyDescent="0.2">
      <c r="A20" s="65">
        <f t="shared" si="1"/>
        <v>8</v>
      </c>
      <c r="B20" s="130" t="s">
        <v>14</v>
      </c>
      <c r="C20" s="262">
        <v>2012</v>
      </c>
      <c r="D20" s="275">
        <f t="shared" si="0"/>
        <v>1356275385.3217039</v>
      </c>
      <c r="E20" s="312">
        <v>854985553.13158321</v>
      </c>
      <c r="F20" s="279">
        <v>312002704.12560391</v>
      </c>
      <c r="G20" s="271">
        <v>61721720.270000003</v>
      </c>
      <c r="H20" s="271">
        <v>-69345.540000000037</v>
      </c>
      <c r="I20" s="271">
        <v>75069819.944279999</v>
      </c>
      <c r="J20" s="297"/>
    </row>
    <row r="21" spans="1:11" x14ac:dyDescent="0.2">
      <c r="A21" s="65">
        <f t="shared" si="1"/>
        <v>9</v>
      </c>
      <c r="B21" s="118" t="s">
        <v>15</v>
      </c>
      <c r="C21" s="262">
        <v>2012</v>
      </c>
      <c r="D21" s="275">
        <f t="shared" si="0"/>
        <v>1440353296.4419749</v>
      </c>
      <c r="E21" s="311">
        <v>881900953.80989754</v>
      </c>
      <c r="F21" s="281">
        <v>346609902.7747829</v>
      </c>
      <c r="G21" s="271">
        <v>65872706.950000003</v>
      </c>
      <c r="H21" s="271">
        <v>-69345.540000000037</v>
      </c>
      <c r="I21" s="271">
        <v>85799857.196889997</v>
      </c>
      <c r="J21" s="297"/>
    </row>
    <row r="22" spans="1:11" x14ac:dyDescent="0.2">
      <c r="A22" s="65">
        <f t="shared" si="1"/>
        <v>10</v>
      </c>
      <c r="B22" s="118" t="s">
        <v>16</v>
      </c>
      <c r="C22" s="262">
        <v>2012</v>
      </c>
      <c r="D22" s="275">
        <f t="shared" si="0"/>
        <v>1531484015.269105</v>
      </c>
      <c r="E22" s="312">
        <v>907366122.11964834</v>
      </c>
      <c r="F22" s="279">
        <v>389112432.77000004</v>
      </c>
      <c r="G22" s="276">
        <v>76362434.129999995</v>
      </c>
      <c r="H22" s="271">
        <v>-69915.360000000102</v>
      </c>
      <c r="I22" s="271">
        <v>95159654.459999993</v>
      </c>
      <c r="J22" s="297"/>
    </row>
    <row r="23" spans="1:11" x14ac:dyDescent="0.2">
      <c r="A23" s="65">
        <f t="shared" si="1"/>
        <v>11</v>
      </c>
      <c r="B23" s="130" t="s">
        <v>390</v>
      </c>
      <c r="C23" s="262">
        <v>2012</v>
      </c>
      <c r="D23" s="275">
        <f t="shared" si="0"/>
        <v>1644557656.5021741</v>
      </c>
      <c r="E23" s="311">
        <v>927601587.7304852</v>
      </c>
      <c r="F23" s="271">
        <v>432488359.63000005</v>
      </c>
      <c r="G23" s="276">
        <v>98194091.150000006</v>
      </c>
      <c r="H23" s="271">
        <v>-69633.120000000112</v>
      </c>
      <c r="I23" s="271">
        <v>116900682.12999998</v>
      </c>
      <c r="J23" s="297"/>
    </row>
    <row r="24" spans="1:11" x14ac:dyDescent="0.2">
      <c r="A24" s="65">
        <f t="shared" si="1"/>
        <v>12</v>
      </c>
      <c r="B24" s="130" t="s">
        <v>17</v>
      </c>
      <c r="C24" s="262">
        <v>2012</v>
      </c>
      <c r="D24" s="275">
        <f t="shared" si="0"/>
        <v>1723764790.0324905</v>
      </c>
      <c r="E24" s="311">
        <v>954089312.59087086</v>
      </c>
      <c r="F24" s="271">
        <v>454923155.35999984</v>
      </c>
      <c r="G24" s="276">
        <v>120943056.34999998</v>
      </c>
      <c r="H24" s="271">
        <v>-69617.340000000084</v>
      </c>
      <c r="I24" s="271">
        <v>129304752.72000001</v>
      </c>
      <c r="J24" s="297"/>
    </row>
    <row r="25" spans="1:11" ht="13.5" thickBot="1" x14ac:dyDescent="0.25">
      <c r="A25" s="65">
        <f t="shared" si="1"/>
        <v>13</v>
      </c>
      <c r="B25" s="130" t="s">
        <v>9</v>
      </c>
      <c r="C25" s="262">
        <v>2012</v>
      </c>
      <c r="D25" s="273">
        <f t="shared" si="0"/>
        <v>1696248998.1939216</v>
      </c>
      <c r="E25" s="310">
        <v>786298777.73778844</v>
      </c>
      <c r="F25" s="302">
        <v>536280836.56999999</v>
      </c>
      <c r="G25" s="309">
        <v>149796433.14000002</v>
      </c>
      <c r="H25" s="302">
        <v>-69617.340000000084</v>
      </c>
      <c r="I25" s="302">
        <v>150902784.00999999</v>
      </c>
      <c r="J25" s="297"/>
    </row>
    <row r="26" spans="1:11" x14ac:dyDescent="0.2">
      <c r="A26" s="65">
        <f t="shared" si="1"/>
        <v>14</v>
      </c>
      <c r="B26" s="130"/>
      <c r="C26" s="300" t="s">
        <v>389</v>
      </c>
      <c r="D26" s="308">
        <f t="shared" ref="D26:I26" si="2">SUM(D13:D25)/13</f>
        <v>1414493589.3113952</v>
      </c>
      <c r="E26" s="299">
        <f t="shared" si="2"/>
        <v>924767364.61809039</v>
      </c>
      <c r="F26" s="307">
        <f t="shared" si="2"/>
        <v>305336946.68174648</v>
      </c>
      <c r="G26" s="299">
        <f t="shared" si="2"/>
        <v>67820899.70964402</v>
      </c>
      <c r="H26" s="299">
        <f t="shared" si="2"/>
        <v>-70159.231515233419</v>
      </c>
      <c r="I26" s="299">
        <f t="shared" si="2"/>
        <v>69555610.855488271</v>
      </c>
      <c r="J26" s="297"/>
      <c r="K26" s="297"/>
    </row>
    <row r="27" spans="1:11" x14ac:dyDescent="0.2">
      <c r="A27" s="65"/>
      <c r="B27" s="130"/>
      <c r="C27" s="300"/>
      <c r="D27" s="299"/>
      <c r="E27" s="299"/>
      <c r="F27" s="299"/>
      <c r="G27" s="299"/>
      <c r="H27" s="299"/>
      <c r="I27" s="297"/>
      <c r="J27" s="225"/>
      <c r="K27" s="297"/>
    </row>
    <row r="28" spans="1:11" x14ac:dyDescent="0.2">
      <c r="A28" s="65"/>
      <c r="B28" s="130"/>
      <c r="C28" s="300"/>
      <c r="D28" s="129" t="s">
        <v>188</v>
      </c>
      <c r="E28" s="129" t="s">
        <v>350</v>
      </c>
      <c r="F28" s="129" t="s">
        <v>404</v>
      </c>
      <c r="G28" s="129" t="s">
        <v>403</v>
      </c>
      <c r="H28" s="129" t="s">
        <v>402</v>
      </c>
      <c r="I28" s="129" t="s">
        <v>401</v>
      </c>
      <c r="J28" s="225"/>
      <c r="K28" s="297"/>
    </row>
    <row r="29" spans="1:11" x14ac:dyDescent="0.2">
      <c r="A29" s="65"/>
      <c r="B29" s="130"/>
      <c r="C29" s="300"/>
      <c r="E29" s="306" t="s">
        <v>400</v>
      </c>
      <c r="F29" s="306"/>
      <c r="G29" s="306"/>
      <c r="H29" s="299"/>
      <c r="I29" s="297"/>
      <c r="J29" s="225"/>
      <c r="K29" s="297"/>
    </row>
    <row r="30" spans="1:11" x14ac:dyDescent="0.2">
      <c r="B30" s="60"/>
      <c r="D30" s="60" t="s">
        <v>399</v>
      </c>
      <c r="E30" s="60" t="s">
        <v>398</v>
      </c>
      <c r="F30" s="306"/>
      <c r="G30" s="306"/>
      <c r="H30" s="299"/>
      <c r="I30" s="297"/>
      <c r="J30" s="225"/>
      <c r="K30" s="297"/>
    </row>
    <row r="31" spans="1:11" x14ac:dyDescent="0.2">
      <c r="B31" s="60"/>
      <c r="D31" s="60" t="s">
        <v>397</v>
      </c>
      <c r="E31" s="60" t="s">
        <v>397</v>
      </c>
      <c r="F31" s="306" t="s">
        <v>396</v>
      </c>
      <c r="G31" s="306" t="s">
        <v>395</v>
      </c>
      <c r="H31" s="299"/>
      <c r="I31" s="297"/>
      <c r="J31" s="297"/>
      <c r="K31" s="297"/>
    </row>
    <row r="32" spans="1:11" x14ac:dyDescent="0.2">
      <c r="A32" s="102" t="s">
        <v>170</v>
      </c>
      <c r="B32" s="128" t="s">
        <v>19</v>
      </c>
      <c r="C32" s="128" t="s">
        <v>20</v>
      </c>
      <c r="D32" s="64" t="s">
        <v>394</v>
      </c>
      <c r="E32" s="64" t="s">
        <v>394</v>
      </c>
      <c r="F32" s="305" t="s">
        <v>393</v>
      </c>
      <c r="G32" s="305" t="s">
        <v>392</v>
      </c>
      <c r="H32" s="304"/>
      <c r="I32" s="304"/>
      <c r="J32" s="297"/>
      <c r="K32" s="297"/>
    </row>
    <row r="33" spans="1:11" x14ac:dyDescent="0.2">
      <c r="A33" s="65">
        <f>+A26+1</f>
        <v>15</v>
      </c>
      <c r="B33" s="130" t="s">
        <v>9</v>
      </c>
      <c r="C33" s="262">
        <v>2011</v>
      </c>
      <c r="D33" s="261">
        <v>2893212.161289352</v>
      </c>
      <c r="E33" s="271">
        <v>10959973.88545125</v>
      </c>
      <c r="F33" s="271">
        <v>2139361.4</v>
      </c>
      <c r="G33" s="271">
        <v>3996853.0955536882</v>
      </c>
      <c r="H33" s="301" t="s">
        <v>344</v>
      </c>
      <c r="I33" s="301" t="s">
        <v>344</v>
      </c>
      <c r="J33" s="297"/>
      <c r="K33" s="297"/>
    </row>
    <row r="34" spans="1:11" x14ac:dyDescent="0.2">
      <c r="A34" s="65">
        <f t="shared" ref="A34:A46" si="3">A33+1</f>
        <v>16</v>
      </c>
      <c r="B34" s="130" t="s">
        <v>10</v>
      </c>
      <c r="C34" s="262">
        <v>2012</v>
      </c>
      <c r="D34" s="261">
        <v>3194615.2702153521</v>
      </c>
      <c r="E34" s="271">
        <v>11369053.440813251</v>
      </c>
      <c r="F34" s="271">
        <v>2346086.2157979999</v>
      </c>
      <c r="G34" s="271">
        <v>4262932.541916281</v>
      </c>
      <c r="H34" s="301" t="s">
        <v>344</v>
      </c>
      <c r="I34" s="301" t="s">
        <v>344</v>
      </c>
      <c r="J34" s="297"/>
      <c r="K34" s="297"/>
    </row>
    <row r="35" spans="1:11" x14ac:dyDescent="0.2">
      <c r="A35" s="65">
        <f t="shared" si="3"/>
        <v>17</v>
      </c>
      <c r="B35" s="118" t="s">
        <v>11</v>
      </c>
      <c r="C35" s="262">
        <v>2012</v>
      </c>
      <c r="D35" s="261">
        <v>3218341.6366033512</v>
      </c>
      <c r="E35" s="271">
        <v>13424478.505080251</v>
      </c>
      <c r="F35" s="271">
        <v>2725574.2728280001</v>
      </c>
      <c r="G35" s="271">
        <v>4622890.4276489476</v>
      </c>
      <c r="H35" s="301" t="s">
        <v>344</v>
      </c>
      <c r="I35" s="301" t="s">
        <v>344</v>
      </c>
      <c r="J35" s="297"/>
      <c r="K35" s="297"/>
    </row>
    <row r="36" spans="1:11" x14ac:dyDescent="0.2">
      <c r="A36" s="65">
        <f t="shared" si="3"/>
        <v>18</v>
      </c>
      <c r="B36" s="118" t="s">
        <v>21</v>
      </c>
      <c r="C36" s="262">
        <v>2012</v>
      </c>
      <c r="D36" s="261">
        <v>4583248.5366033521</v>
      </c>
      <c r="E36" s="271">
        <v>16437355.725080252</v>
      </c>
      <c r="F36" s="271">
        <v>3176197.2728279997</v>
      </c>
      <c r="G36" s="271">
        <v>5182783.9292840306</v>
      </c>
      <c r="H36" s="301" t="s">
        <v>344</v>
      </c>
      <c r="I36" s="301" t="s">
        <v>344</v>
      </c>
      <c r="J36" s="297"/>
      <c r="K36" s="297"/>
    </row>
    <row r="37" spans="1:11" x14ac:dyDescent="0.2">
      <c r="A37" s="65">
        <f t="shared" si="3"/>
        <v>19</v>
      </c>
      <c r="B37" s="130" t="s">
        <v>12</v>
      </c>
      <c r="C37" s="262">
        <v>2012</v>
      </c>
      <c r="D37" s="261">
        <v>4647809.7766033523</v>
      </c>
      <c r="E37" s="271">
        <v>26790706.665080249</v>
      </c>
      <c r="F37" s="271">
        <v>3894174.092828</v>
      </c>
      <c r="G37" s="271">
        <v>6044844.9610022744</v>
      </c>
      <c r="H37" s="301" t="s">
        <v>344</v>
      </c>
      <c r="I37" s="301" t="s">
        <v>344</v>
      </c>
      <c r="J37" s="297"/>
      <c r="K37" s="297"/>
    </row>
    <row r="38" spans="1:11" x14ac:dyDescent="0.2">
      <c r="A38" s="65">
        <f t="shared" si="3"/>
        <v>20</v>
      </c>
      <c r="B38" s="118" t="s">
        <v>13</v>
      </c>
      <c r="C38" s="262">
        <v>2012</v>
      </c>
      <c r="D38" s="261">
        <v>4836888.2300000004</v>
      </c>
      <c r="E38" s="271">
        <v>28814499.620000001</v>
      </c>
      <c r="F38" s="271">
        <v>4490719.5600000005</v>
      </c>
      <c r="G38" s="271">
        <v>6617273.0274080848</v>
      </c>
      <c r="H38" s="301" t="s">
        <v>344</v>
      </c>
      <c r="I38" s="301" t="s">
        <v>344</v>
      </c>
      <c r="J38" s="297"/>
      <c r="K38" s="297"/>
    </row>
    <row r="39" spans="1:11" x14ac:dyDescent="0.2">
      <c r="A39" s="65">
        <f t="shared" si="3"/>
        <v>21</v>
      </c>
      <c r="B39" s="118" t="s">
        <v>391</v>
      </c>
      <c r="C39" s="262">
        <v>2012</v>
      </c>
      <c r="D39" s="261">
        <v>5054397.24</v>
      </c>
      <c r="E39" s="271">
        <v>30462999</v>
      </c>
      <c r="F39" s="271">
        <v>5171904.41</v>
      </c>
      <c r="G39" s="271">
        <v>7304946.7137829456</v>
      </c>
      <c r="H39" s="301" t="s">
        <v>344</v>
      </c>
      <c r="I39" s="301" t="s">
        <v>344</v>
      </c>
      <c r="J39" s="297"/>
      <c r="K39" s="297"/>
    </row>
    <row r="40" spans="1:11" x14ac:dyDescent="0.2">
      <c r="A40" s="65">
        <f t="shared" si="3"/>
        <v>22</v>
      </c>
      <c r="B40" s="130" t="s">
        <v>14</v>
      </c>
      <c r="C40" s="262">
        <v>2012</v>
      </c>
      <c r="D40" s="261">
        <v>5307523.84</v>
      </c>
      <c r="E40" s="271">
        <v>33064623.609999999</v>
      </c>
      <c r="F40" s="271">
        <v>6131663.2600000007</v>
      </c>
      <c r="G40" s="271">
        <v>8061122.6802368183</v>
      </c>
      <c r="H40" s="301" t="s">
        <v>344</v>
      </c>
      <c r="I40" s="301" t="s">
        <v>344</v>
      </c>
      <c r="J40" s="297"/>
      <c r="K40" s="297"/>
    </row>
    <row r="41" spans="1:11" x14ac:dyDescent="0.2">
      <c r="A41" s="65">
        <f t="shared" si="3"/>
        <v>23</v>
      </c>
      <c r="B41" s="118" t="s">
        <v>15</v>
      </c>
      <c r="C41" s="262">
        <v>2012</v>
      </c>
      <c r="D41" s="261">
        <v>6404848.9900000002</v>
      </c>
      <c r="E41" s="271">
        <v>37924466.120000005</v>
      </c>
      <c r="F41" s="271">
        <v>7087425.4500000002</v>
      </c>
      <c r="G41" s="271">
        <v>8822480.690404065</v>
      </c>
      <c r="H41" s="301" t="s">
        <v>344</v>
      </c>
      <c r="I41" s="301" t="s">
        <v>344</v>
      </c>
      <c r="J41" s="297"/>
      <c r="K41" s="297"/>
    </row>
    <row r="42" spans="1:11" x14ac:dyDescent="0.2">
      <c r="A42" s="65">
        <f t="shared" si="3"/>
        <v>24</v>
      </c>
      <c r="B42" s="118" t="s">
        <v>16</v>
      </c>
      <c r="C42" s="262">
        <v>2012</v>
      </c>
      <c r="D42" s="261">
        <v>7929868.5099999998</v>
      </c>
      <c r="E42" s="271">
        <v>39118291.93</v>
      </c>
      <c r="F42" s="271">
        <v>7463084.5099999998</v>
      </c>
      <c r="G42" s="271">
        <v>9042042.1994562931</v>
      </c>
      <c r="H42" s="301" t="s">
        <v>344</v>
      </c>
      <c r="I42" s="301" t="s">
        <v>344</v>
      </c>
      <c r="J42" s="297"/>
      <c r="K42" s="297"/>
    </row>
    <row r="43" spans="1:11" x14ac:dyDescent="0.2">
      <c r="A43" s="65">
        <f t="shared" si="3"/>
        <v>25</v>
      </c>
      <c r="B43" s="130" t="s">
        <v>390</v>
      </c>
      <c r="C43" s="262">
        <v>2012</v>
      </c>
      <c r="D43" s="261">
        <v>9907332.0700000003</v>
      </c>
      <c r="E43" s="271">
        <v>41095013.140000001</v>
      </c>
      <c r="F43" s="271">
        <v>8414612.4700000007</v>
      </c>
      <c r="G43" s="271">
        <v>10025611.30168882</v>
      </c>
      <c r="H43" s="301" t="s">
        <v>344</v>
      </c>
      <c r="I43" s="301" t="s">
        <v>344</v>
      </c>
      <c r="J43" s="297"/>
      <c r="K43" s="297"/>
    </row>
    <row r="44" spans="1:11" x14ac:dyDescent="0.2">
      <c r="A44" s="65">
        <f t="shared" si="3"/>
        <v>26</v>
      </c>
      <c r="B44" s="130" t="s">
        <v>17</v>
      </c>
      <c r="C44" s="262">
        <v>2012</v>
      </c>
      <c r="D44" s="261">
        <v>1962269.87</v>
      </c>
      <c r="E44" s="271">
        <v>42763557.229999997</v>
      </c>
      <c r="F44" s="271">
        <v>9234289.25</v>
      </c>
      <c r="G44" s="271">
        <v>10614014.001619678</v>
      </c>
      <c r="H44" s="301" t="s">
        <v>344</v>
      </c>
      <c r="I44" s="301" t="s">
        <v>344</v>
      </c>
      <c r="J44" s="297"/>
      <c r="K44" s="297"/>
    </row>
    <row r="45" spans="1:11" x14ac:dyDescent="0.2">
      <c r="A45" s="65">
        <f t="shared" si="3"/>
        <v>27</v>
      </c>
      <c r="B45" s="130" t="s">
        <v>9</v>
      </c>
      <c r="C45" s="262">
        <v>2012</v>
      </c>
      <c r="D45" s="303">
        <v>3256743.08</v>
      </c>
      <c r="E45" s="302">
        <v>47928159.539999999</v>
      </c>
      <c r="F45" s="302">
        <v>10360459.710000001</v>
      </c>
      <c r="G45" s="302">
        <v>11494421.74613302</v>
      </c>
      <c r="H45" s="301" t="s">
        <v>344</v>
      </c>
      <c r="I45" s="301" t="s">
        <v>344</v>
      </c>
      <c r="J45" s="297"/>
      <c r="K45" s="297"/>
    </row>
    <row r="46" spans="1:11" x14ac:dyDescent="0.2">
      <c r="A46" s="65">
        <f t="shared" si="3"/>
        <v>28</v>
      </c>
      <c r="B46" s="130"/>
      <c r="C46" s="300" t="s">
        <v>389</v>
      </c>
      <c r="D46" s="299">
        <f>SUM(D33:D45)/13</f>
        <v>4861315.323947289</v>
      </c>
      <c r="E46" s="299">
        <f>SUM(E33:E45)/13</f>
        <v>29242552.185500406</v>
      </c>
      <c r="F46" s="299">
        <f>SUM(F33:F45)/13</f>
        <v>5587350.1441755388</v>
      </c>
      <c r="G46" s="299">
        <f>SUM(G33:G45)/13</f>
        <v>7391709.0243180729</v>
      </c>
      <c r="H46" s="298" t="s">
        <v>344</v>
      </c>
      <c r="I46" s="298" t="s">
        <v>344</v>
      </c>
      <c r="J46" s="297"/>
      <c r="K46" s="297"/>
    </row>
    <row r="48" spans="1:11" x14ac:dyDescent="0.2">
      <c r="B48" s="290" t="s">
        <v>388</v>
      </c>
    </row>
    <row r="49" spans="1:13" x14ac:dyDescent="0.2">
      <c r="B49" s="290"/>
      <c r="D49" s="263" t="s">
        <v>167</v>
      </c>
      <c r="E49" s="263" t="s">
        <v>168</v>
      </c>
      <c r="F49" s="263" t="s">
        <v>184</v>
      </c>
      <c r="G49" s="263" t="s">
        <v>185</v>
      </c>
      <c r="H49" s="263" t="s">
        <v>186</v>
      </c>
      <c r="I49" s="263" t="s">
        <v>187</v>
      </c>
      <c r="J49" s="263" t="s">
        <v>188</v>
      </c>
      <c r="K49" s="263" t="s">
        <v>350</v>
      </c>
    </row>
    <row r="50" spans="1:13" s="295" customFormat="1" x14ac:dyDescent="0.2">
      <c r="A50" s="296"/>
      <c r="D50" s="208" t="s">
        <v>293</v>
      </c>
      <c r="E50" s="208" t="s">
        <v>293</v>
      </c>
      <c r="F50" s="208" t="s">
        <v>293</v>
      </c>
      <c r="G50" s="208" t="s">
        <v>293</v>
      </c>
      <c r="H50" s="208" t="s">
        <v>293</v>
      </c>
      <c r="I50" s="208" t="s">
        <v>293</v>
      </c>
      <c r="J50" s="208" t="s">
        <v>293</v>
      </c>
      <c r="K50" s="208" t="s">
        <v>293</v>
      </c>
      <c r="L50" s="296"/>
    </row>
    <row r="51" spans="1:13" x14ac:dyDescent="0.2">
      <c r="G51" s="60" t="s">
        <v>387</v>
      </c>
      <c r="K51" s="255"/>
    </row>
    <row r="52" spans="1:13" x14ac:dyDescent="0.2">
      <c r="A52" s="255"/>
      <c r="B52" s="255"/>
      <c r="C52" s="255"/>
      <c r="D52" s="255" t="s">
        <v>382</v>
      </c>
      <c r="E52" s="255" t="s">
        <v>386</v>
      </c>
      <c r="F52" s="255" t="s">
        <v>385</v>
      </c>
      <c r="G52" s="255" t="s">
        <v>169</v>
      </c>
      <c r="H52" s="255" t="s">
        <v>384</v>
      </c>
      <c r="I52" s="294" t="s">
        <v>383</v>
      </c>
      <c r="J52" s="255" t="s">
        <v>382</v>
      </c>
      <c r="K52" s="255" t="s">
        <v>381</v>
      </c>
    </row>
    <row r="53" spans="1:13" x14ac:dyDescent="0.2">
      <c r="A53" s="102" t="s">
        <v>170</v>
      </c>
      <c r="B53" s="128" t="s">
        <v>19</v>
      </c>
      <c r="C53" s="128" t="s">
        <v>20</v>
      </c>
      <c r="D53" s="263" t="s">
        <v>380</v>
      </c>
      <c r="E53" s="263" t="s">
        <v>379</v>
      </c>
      <c r="F53" s="263" t="s">
        <v>378</v>
      </c>
      <c r="G53" s="263" t="s">
        <v>359</v>
      </c>
      <c r="H53" s="263" t="s">
        <v>377</v>
      </c>
      <c r="I53" s="263" t="s">
        <v>376</v>
      </c>
      <c r="J53" s="263" t="s">
        <v>375</v>
      </c>
      <c r="K53" s="64" t="s">
        <v>374</v>
      </c>
    </row>
    <row r="54" spans="1:13" x14ac:dyDescent="0.2">
      <c r="A54" s="65">
        <f>A46+1</f>
        <v>29</v>
      </c>
      <c r="B54" s="130" t="s">
        <v>9</v>
      </c>
      <c r="C54" s="262">
        <v>2012</v>
      </c>
      <c r="D54" s="252" t="s">
        <v>344</v>
      </c>
      <c r="E54" s="252" t="s">
        <v>344</v>
      </c>
      <c r="F54" s="252" t="s">
        <v>344</v>
      </c>
      <c r="G54" s="252" t="s">
        <v>344</v>
      </c>
      <c r="H54" s="252" t="s">
        <v>344</v>
      </c>
      <c r="I54" s="252" t="s">
        <v>344</v>
      </c>
      <c r="J54" s="275">
        <f>D25</f>
        <v>1696248998.1939216</v>
      </c>
      <c r="K54" s="252" t="s">
        <v>344</v>
      </c>
    </row>
    <row r="55" spans="1:13" x14ac:dyDescent="0.2">
      <c r="A55" s="65">
        <f t="shared" ref="A55:A79" si="4">A54+1</f>
        <v>30</v>
      </c>
      <c r="B55" s="130" t="s">
        <v>10</v>
      </c>
      <c r="C55" s="262">
        <v>2013</v>
      </c>
      <c r="D55" s="275">
        <f t="shared" ref="D55:K64" si="5">D89+D122+D153+D186+D217+D250+D281+D314+D345+D378</f>
        <v>50259003.649999999</v>
      </c>
      <c r="E55" s="275">
        <f t="shared" si="5"/>
        <v>3769425.2737499997</v>
      </c>
      <c r="F55" s="275">
        <f t="shared" si="5"/>
        <v>54028428.923749998</v>
      </c>
      <c r="G55" s="275">
        <f t="shared" si="5"/>
        <v>145129213.62000015</v>
      </c>
      <c r="H55" s="88">
        <f t="shared" si="5"/>
        <v>295022532.56000024</v>
      </c>
      <c r="I55" s="88">
        <f t="shared" si="5"/>
        <v>-11241998.920500007</v>
      </c>
      <c r="J55" s="275">
        <f t="shared" si="5"/>
        <v>1616390212.4181714</v>
      </c>
      <c r="K55" s="275">
        <f t="shared" si="5"/>
        <v>-79858785.77575013</v>
      </c>
      <c r="L55" s="293"/>
      <c r="M55" s="121"/>
    </row>
    <row r="56" spans="1:13" x14ac:dyDescent="0.2">
      <c r="A56" s="65">
        <f t="shared" si="4"/>
        <v>31</v>
      </c>
      <c r="B56" s="118" t="s">
        <v>11</v>
      </c>
      <c r="C56" s="262">
        <v>2013</v>
      </c>
      <c r="D56" s="275">
        <f t="shared" si="5"/>
        <v>97845551.450000003</v>
      </c>
      <c r="E56" s="275">
        <f t="shared" si="5"/>
        <v>7338416.3587500006</v>
      </c>
      <c r="F56" s="275">
        <f t="shared" si="5"/>
        <v>105183967.80875</v>
      </c>
      <c r="G56" s="275">
        <f t="shared" si="5"/>
        <v>8991321.8600000013</v>
      </c>
      <c r="H56" s="275">
        <f t="shared" si="5"/>
        <v>8991321.8600000013</v>
      </c>
      <c r="I56" s="275">
        <f t="shared" si="5"/>
        <v>0</v>
      </c>
      <c r="J56" s="88">
        <f t="shared" si="5"/>
        <v>1712582858.3669214</v>
      </c>
      <c r="K56" s="275">
        <f t="shared" si="5"/>
        <v>16333860.172999939</v>
      </c>
      <c r="L56" s="293"/>
      <c r="M56" s="121"/>
    </row>
    <row r="57" spans="1:13" x14ac:dyDescent="0.2">
      <c r="A57" s="65">
        <f t="shared" si="4"/>
        <v>32</v>
      </c>
      <c r="B57" s="118" t="s">
        <v>21</v>
      </c>
      <c r="C57" s="262">
        <v>2013</v>
      </c>
      <c r="D57" s="275">
        <f t="shared" si="5"/>
        <v>137210586.82077932</v>
      </c>
      <c r="E57" s="275">
        <f t="shared" si="5"/>
        <v>10290794.011558451</v>
      </c>
      <c r="F57" s="275">
        <f t="shared" si="5"/>
        <v>147501380.8323378</v>
      </c>
      <c r="G57" s="275">
        <f t="shared" si="5"/>
        <v>1822508.7900000007</v>
      </c>
      <c r="H57" s="88">
        <f t="shared" si="5"/>
        <v>1822508.7900000007</v>
      </c>
      <c r="I57" s="275">
        <f t="shared" si="5"/>
        <v>0</v>
      </c>
      <c r="J57" s="88">
        <f t="shared" si="5"/>
        <v>1858261730.4092593</v>
      </c>
      <c r="K57" s="275">
        <f t="shared" si="5"/>
        <v>162012732.21533784</v>
      </c>
      <c r="L57" s="293"/>
      <c r="M57" s="121"/>
    </row>
    <row r="58" spans="1:13" x14ac:dyDescent="0.2">
      <c r="A58" s="65">
        <f t="shared" si="4"/>
        <v>33</v>
      </c>
      <c r="B58" s="130" t="s">
        <v>12</v>
      </c>
      <c r="C58" s="262">
        <v>2013</v>
      </c>
      <c r="D58" s="275">
        <f t="shared" si="5"/>
        <v>120170692.39646509</v>
      </c>
      <c r="E58" s="275">
        <f t="shared" si="5"/>
        <v>9012801.9297348838</v>
      </c>
      <c r="F58" s="275">
        <f t="shared" si="5"/>
        <v>129183494.32619999</v>
      </c>
      <c r="G58" s="275">
        <f t="shared" si="5"/>
        <v>9184478.7328800019</v>
      </c>
      <c r="H58" s="88">
        <f t="shared" si="5"/>
        <v>9184478.7328800019</v>
      </c>
      <c r="I58" s="275">
        <f t="shared" si="5"/>
        <v>0</v>
      </c>
      <c r="J58" s="88">
        <f t="shared" si="5"/>
        <v>1978260746.0025792</v>
      </c>
      <c r="K58" s="275">
        <f t="shared" si="5"/>
        <v>282011747.80865782</v>
      </c>
      <c r="L58" s="293"/>
      <c r="M58" s="121"/>
    </row>
    <row r="59" spans="1:13" x14ac:dyDescent="0.2">
      <c r="A59" s="65">
        <f t="shared" si="4"/>
        <v>34</v>
      </c>
      <c r="B59" s="118" t="s">
        <v>13</v>
      </c>
      <c r="C59" s="262">
        <v>2013</v>
      </c>
      <c r="D59" s="275">
        <f t="shared" si="5"/>
        <v>78667165.994450778</v>
      </c>
      <c r="E59" s="275">
        <f t="shared" si="5"/>
        <v>5900037.4495838098</v>
      </c>
      <c r="F59" s="275">
        <f t="shared" si="5"/>
        <v>84567203.444034606</v>
      </c>
      <c r="G59" s="275">
        <f t="shared" si="5"/>
        <v>578960192.14760208</v>
      </c>
      <c r="H59" s="88">
        <f t="shared" si="5"/>
        <v>387475443.41800046</v>
      </c>
      <c r="I59" s="275">
        <f t="shared" si="5"/>
        <v>14361356.154720124</v>
      </c>
      <c r="J59" s="88">
        <f t="shared" si="5"/>
        <v>1469506401.1442914</v>
      </c>
      <c r="K59" s="275">
        <f t="shared" si="5"/>
        <v>-226742597.04962987</v>
      </c>
      <c r="L59" s="293"/>
      <c r="M59" s="121"/>
    </row>
    <row r="60" spans="1:13" x14ac:dyDescent="0.2">
      <c r="A60" s="65">
        <f t="shared" si="4"/>
        <v>35</v>
      </c>
      <c r="B60" s="118" t="s">
        <v>28</v>
      </c>
      <c r="C60" s="262">
        <v>2013</v>
      </c>
      <c r="D60" s="275">
        <f t="shared" si="5"/>
        <v>47889070.369030789</v>
      </c>
      <c r="E60" s="275">
        <f t="shared" si="5"/>
        <v>3591680.2776773092</v>
      </c>
      <c r="F60" s="275">
        <f t="shared" si="5"/>
        <v>51480750.646708108</v>
      </c>
      <c r="G60" s="275">
        <f t="shared" si="5"/>
        <v>304251817.18149155</v>
      </c>
      <c r="H60" s="88">
        <f t="shared" si="5"/>
        <v>209603011.40799999</v>
      </c>
      <c r="I60" s="275">
        <f t="shared" si="5"/>
        <v>7098660.4330118652</v>
      </c>
      <c r="J60" s="88">
        <f t="shared" si="5"/>
        <v>1209636674.1764963</v>
      </c>
      <c r="K60" s="275">
        <f t="shared" si="5"/>
        <v>-486612324.0174253</v>
      </c>
      <c r="L60" s="293"/>
      <c r="M60" s="121"/>
    </row>
    <row r="61" spans="1:13" x14ac:dyDescent="0.2">
      <c r="A61" s="65">
        <f t="shared" si="4"/>
        <v>36</v>
      </c>
      <c r="B61" s="130" t="s">
        <v>14</v>
      </c>
      <c r="C61" s="262">
        <v>2013</v>
      </c>
      <c r="D61" s="275">
        <f t="shared" si="5"/>
        <v>48918978.640821047</v>
      </c>
      <c r="E61" s="275">
        <f t="shared" si="5"/>
        <v>3668923.3980615786</v>
      </c>
      <c r="F61" s="275">
        <f t="shared" si="5"/>
        <v>52587902.038882621</v>
      </c>
      <c r="G61" s="275">
        <f t="shared" si="5"/>
        <v>194772406.72720945</v>
      </c>
      <c r="H61" s="88">
        <f t="shared" si="5"/>
        <v>125045980.76000008</v>
      </c>
      <c r="I61" s="275">
        <f t="shared" si="5"/>
        <v>5229481.9475407014</v>
      </c>
      <c r="J61" s="88">
        <f t="shared" si="5"/>
        <v>1062222687.5406288</v>
      </c>
      <c r="K61" s="275">
        <f t="shared" si="5"/>
        <v>-634026310.65329278</v>
      </c>
      <c r="L61" s="293"/>
      <c r="M61" s="121"/>
    </row>
    <row r="62" spans="1:13" x14ac:dyDescent="0.2">
      <c r="A62" s="65">
        <f t="shared" si="4"/>
        <v>37</v>
      </c>
      <c r="B62" s="118" t="s">
        <v>15</v>
      </c>
      <c r="C62" s="262">
        <v>2013</v>
      </c>
      <c r="D62" s="275">
        <f t="shared" si="5"/>
        <v>47989557.820040993</v>
      </c>
      <c r="E62" s="275">
        <f t="shared" si="5"/>
        <v>3599216.836503074</v>
      </c>
      <c r="F62" s="275">
        <f t="shared" si="5"/>
        <v>51588774.656544067</v>
      </c>
      <c r="G62" s="275">
        <f t="shared" si="5"/>
        <v>28114442.870483499</v>
      </c>
      <c r="H62" s="88">
        <f t="shared" si="5"/>
        <v>16238607.729999999</v>
      </c>
      <c r="I62" s="275">
        <f t="shared" si="5"/>
        <v>890687.63553626265</v>
      </c>
      <c r="J62" s="88">
        <f t="shared" si="5"/>
        <v>1084806331.6911528</v>
      </c>
      <c r="K62" s="275">
        <f t="shared" si="5"/>
        <v>-611442666.50276852</v>
      </c>
      <c r="L62" s="293"/>
      <c r="M62" s="121"/>
    </row>
    <row r="63" spans="1:13" x14ac:dyDescent="0.2">
      <c r="A63" s="65">
        <f t="shared" si="4"/>
        <v>38</v>
      </c>
      <c r="B63" s="118" t="s">
        <v>16</v>
      </c>
      <c r="C63" s="262">
        <v>2013</v>
      </c>
      <c r="D63" s="275">
        <f t="shared" si="5"/>
        <v>33202224.060384415</v>
      </c>
      <c r="E63" s="275">
        <f t="shared" si="5"/>
        <v>2490166.804528831</v>
      </c>
      <c r="F63" s="275">
        <f t="shared" si="5"/>
        <v>35692390.864913248</v>
      </c>
      <c r="G63" s="275">
        <f t="shared" si="5"/>
        <v>233905808.02632135</v>
      </c>
      <c r="H63" s="88">
        <f t="shared" si="5"/>
        <v>169831199.51800036</v>
      </c>
      <c r="I63" s="275">
        <f t="shared" si="5"/>
        <v>4805595.6381240739</v>
      </c>
      <c r="J63" s="88">
        <f t="shared" si="5"/>
        <v>881787318.89162064</v>
      </c>
      <c r="K63" s="275">
        <f t="shared" si="5"/>
        <v>-814461679.30230081</v>
      </c>
      <c r="L63" s="293"/>
      <c r="M63" s="121"/>
    </row>
    <row r="64" spans="1:13" x14ac:dyDescent="0.2">
      <c r="A64" s="65">
        <f t="shared" si="4"/>
        <v>39</v>
      </c>
      <c r="B64" s="130" t="s">
        <v>18</v>
      </c>
      <c r="C64" s="262">
        <v>2013</v>
      </c>
      <c r="D64" s="275">
        <f t="shared" si="5"/>
        <v>62411730.175784521</v>
      </c>
      <c r="E64" s="275">
        <f t="shared" si="5"/>
        <v>4680879.7631838387</v>
      </c>
      <c r="F64" s="275">
        <f t="shared" si="5"/>
        <v>67092609.93896836</v>
      </c>
      <c r="G64" s="275">
        <f t="shared" si="5"/>
        <v>12102385.514751052</v>
      </c>
      <c r="H64" s="88">
        <f t="shared" si="5"/>
        <v>2179499.4080000003</v>
      </c>
      <c r="I64" s="275">
        <f t="shared" si="5"/>
        <v>744216.4580063289</v>
      </c>
      <c r="J64" s="88">
        <f t="shared" si="5"/>
        <v>936033326.8578316</v>
      </c>
      <c r="K64" s="275">
        <f t="shared" si="5"/>
        <v>-760215671.33608973</v>
      </c>
      <c r="L64" s="293"/>
      <c r="M64" s="121"/>
    </row>
    <row r="65" spans="1:13" x14ac:dyDescent="0.2">
      <c r="A65" s="65">
        <f t="shared" si="4"/>
        <v>40</v>
      </c>
      <c r="B65" s="130" t="s">
        <v>17</v>
      </c>
      <c r="C65" s="262">
        <v>2013</v>
      </c>
      <c r="D65" s="275">
        <f t="shared" ref="D65:K74" si="6">D99+D132+D163+D196+D227+D260+D291+D324+D355+D388</f>
        <v>31334271.283581872</v>
      </c>
      <c r="E65" s="275">
        <f t="shared" si="6"/>
        <v>2350070.3462686399</v>
      </c>
      <c r="F65" s="275">
        <f t="shared" si="6"/>
        <v>33684341.629850507</v>
      </c>
      <c r="G65" s="275">
        <f t="shared" si="6"/>
        <v>220194519.14900795</v>
      </c>
      <c r="H65" s="88">
        <f t="shared" si="6"/>
        <v>111091694.4000003</v>
      </c>
      <c r="I65" s="275">
        <f t="shared" si="6"/>
        <v>8182711.8561755735</v>
      </c>
      <c r="J65" s="88">
        <f t="shared" si="6"/>
        <v>741340437.48249865</v>
      </c>
      <c r="K65" s="275">
        <f t="shared" si="6"/>
        <v>-954908560.71142304</v>
      </c>
      <c r="L65" s="293"/>
      <c r="M65" s="121"/>
    </row>
    <row r="66" spans="1:13" x14ac:dyDescent="0.2">
      <c r="A66" s="65">
        <f t="shared" si="4"/>
        <v>41</v>
      </c>
      <c r="B66" s="130" t="s">
        <v>9</v>
      </c>
      <c r="C66" s="262">
        <v>2013</v>
      </c>
      <c r="D66" s="275">
        <f t="shared" si="6"/>
        <v>41863877.26929637</v>
      </c>
      <c r="E66" s="275">
        <f t="shared" si="6"/>
        <v>3139790.7951972284</v>
      </c>
      <c r="F66" s="275">
        <f t="shared" si="6"/>
        <v>45003668.064493604</v>
      </c>
      <c r="G66" s="275">
        <f t="shared" si="6"/>
        <v>157400691.6953938</v>
      </c>
      <c r="H66" s="88">
        <f t="shared" si="6"/>
        <v>85054377.630700752</v>
      </c>
      <c r="I66" s="275">
        <f t="shared" si="6"/>
        <v>5425973.5548519762</v>
      </c>
      <c r="J66" s="88">
        <f t="shared" si="6"/>
        <v>623517440.29674625</v>
      </c>
      <c r="K66" s="275">
        <f t="shared" si="6"/>
        <v>-1072731557.8971752</v>
      </c>
      <c r="L66" s="293"/>
      <c r="M66" s="121"/>
    </row>
    <row r="67" spans="1:13" x14ac:dyDescent="0.2">
      <c r="A67" s="65">
        <f t="shared" si="4"/>
        <v>42</v>
      </c>
      <c r="B67" s="130" t="s">
        <v>10</v>
      </c>
      <c r="C67" s="262">
        <v>2014</v>
      </c>
      <c r="D67" s="121">
        <f t="shared" si="6"/>
        <v>45999140.387414642</v>
      </c>
      <c r="E67" s="121">
        <f t="shared" si="6"/>
        <v>3449935.5290560983</v>
      </c>
      <c r="F67" s="121">
        <f t="shared" si="6"/>
        <v>49449075.916470751</v>
      </c>
      <c r="G67" s="121">
        <f t="shared" si="6"/>
        <v>14970553.580666667</v>
      </c>
      <c r="H67" s="88">
        <f t="shared" si="6"/>
        <v>311404.80000000005</v>
      </c>
      <c r="I67" s="88">
        <f t="shared" si="6"/>
        <v>1099436.1585500001</v>
      </c>
      <c r="J67" s="88">
        <f t="shared" si="6"/>
        <v>656896526.47400045</v>
      </c>
      <c r="K67" s="275">
        <f t="shared" si="6"/>
        <v>-1039352471.7199211</v>
      </c>
      <c r="L67" s="293"/>
      <c r="M67" s="121"/>
    </row>
    <row r="68" spans="1:13" x14ac:dyDescent="0.2">
      <c r="A68" s="65">
        <f t="shared" si="4"/>
        <v>43</v>
      </c>
      <c r="B68" s="118" t="s">
        <v>11</v>
      </c>
      <c r="C68" s="262">
        <v>2014</v>
      </c>
      <c r="D68" s="121">
        <f t="shared" si="6"/>
        <v>36570067.601348355</v>
      </c>
      <c r="E68" s="121">
        <f t="shared" si="6"/>
        <v>2742755.0701011266</v>
      </c>
      <c r="F68" s="121">
        <f t="shared" si="6"/>
        <v>39312822.671449475</v>
      </c>
      <c r="G68" s="121">
        <f t="shared" si="6"/>
        <v>11816256.540666668</v>
      </c>
      <c r="H68" s="88">
        <f t="shared" si="6"/>
        <v>370817.76</v>
      </c>
      <c r="I68" s="88">
        <f t="shared" si="6"/>
        <v>858407.90854999993</v>
      </c>
      <c r="J68" s="88">
        <f t="shared" si="6"/>
        <v>683534684.69623327</v>
      </c>
      <c r="K68" s="275">
        <f t="shared" si="6"/>
        <v>-1012714313.4976881</v>
      </c>
      <c r="L68" s="293"/>
      <c r="M68" s="121"/>
    </row>
    <row r="69" spans="1:13" x14ac:dyDescent="0.2">
      <c r="A69" s="65">
        <f t="shared" si="4"/>
        <v>44</v>
      </c>
      <c r="B69" s="118" t="s">
        <v>21</v>
      </c>
      <c r="C69" s="262">
        <v>2014</v>
      </c>
      <c r="D69" s="121">
        <f t="shared" si="6"/>
        <v>39162654.9566378</v>
      </c>
      <c r="E69" s="121">
        <f t="shared" si="6"/>
        <v>2937199.1217478346</v>
      </c>
      <c r="F69" s="121">
        <f t="shared" si="6"/>
        <v>42099854.078385629</v>
      </c>
      <c r="G69" s="121">
        <f t="shared" si="6"/>
        <v>11147138.220666667</v>
      </c>
      <c r="H69" s="88">
        <f t="shared" si="6"/>
        <v>437989.44</v>
      </c>
      <c r="I69" s="88">
        <f t="shared" si="6"/>
        <v>803186.15854999993</v>
      </c>
      <c r="J69" s="88">
        <f t="shared" si="6"/>
        <v>713684214.39540219</v>
      </c>
      <c r="K69" s="275">
        <f t="shared" si="6"/>
        <v>-982564783.79851925</v>
      </c>
      <c r="L69" s="293"/>
      <c r="M69" s="121"/>
    </row>
    <row r="70" spans="1:13" x14ac:dyDescent="0.2">
      <c r="A70" s="65">
        <f t="shared" si="4"/>
        <v>45</v>
      </c>
      <c r="B70" s="130" t="s">
        <v>12</v>
      </c>
      <c r="C70" s="262">
        <v>2014</v>
      </c>
      <c r="D70" s="121">
        <f t="shared" si="6"/>
        <v>19821080.316562839</v>
      </c>
      <c r="E70" s="121">
        <f t="shared" si="6"/>
        <v>1486581.0237422127</v>
      </c>
      <c r="F70" s="121">
        <f t="shared" si="6"/>
        <v>21307661.340305045</v>
      </c>
      <c r="G70" s="121">
        <f t="shared" si="6"/>
        <v>5752812.583333333</v>
      </c>
      <c r="H70" s="88">
        <f t="shared" si="6"/>
        <v>300000</v>
      </c>
      <c r="I70" s="88">
        <f t="shared" si="6"/>
        <v>408960.94374999998</v>
      </c>
      <c r="J70" s="88">
        <f t="shared" si="6"/>
        <v>728830102.20862412</v>
      </c>
      <c r="K70" s="275">
        <f t="shared" si="6"/>
        <v>-967418895.98529744</v>
      </c>
      <c r="L70" s="293"/>
      <c r="M70" s="121"/>
    </row>
    <row r="71" spans="1:13" x14ac:dyDescent="0.2">
      <c r="A71" s="65">
        <f t="shared" si="4"/>
        <v>46</v>
      </c>
      <c r="B71" s="118" t="s">
        <v>13</v>
      </c>
      <c r="C71" s="262">
        <v>2014</v>
      </c>
      <c r="D71" s="121">
        <f t="shared" si="6"/>
        <v>21655143.71626246</v>
      </c>
      <c r="E71" s="121">
        <f t="shared" si="6"/>
        <v>1624135.7787196846</v>
      </c>
      <c r="F71" s="121">
        <f t="shared" si="6"/>
        <v>23279279.494982142</v>
      </c>
      <c r="G71" s="121">
        <f t="shared" si="6"/>
        <v>4127812.5833333335</v>
      </c>
      <c r="H71" s="88">
        <f t="shared" si="6"/>
        <v>300000</v>
      </c>
      <c r="I71" s="88">
        <f t="shared" si="6"/>
        <v>287085.94374999998</v>
      </c>
      <c r="J71" s="88">
        <f t="shared" si="6"/>
        <v>747694483.17652297</v>
      </c>
      <c r="K71" s="275">
        <f t="shared" si="6"/>
        <v>-948554515.0173986</v>
      </c>
      <c r="L71" s="293"/>
      <c r="M71" s="121"/>
    </row>
    <row r="72" spans="1:13" x14ac:dyDescent="0.2">
      <c r="A72" s="65">
        <f t="shared" si="4"/>
        <v>47</v>
      </c>
      <c r="B72" s="118" t="s">
        <v>28</v>
      </c>
      <c r="C72" s="262">
        <v>2014</v>
      </c>
      <c r="D72" s="121">
        <f t="shared" si="6"/>
        <v>18063520.056371771</v>
      </c>
      <c r="E72" s="121">
        <f t="shared" si="6"/>
        <v>1354764.0042278829</v>
      </c>
      <c r="F72" s="121">
        <f t="shared" si="6"/>
        <v>19418284.060599655</v>
      </c>
      <c r="G72" s="121">
        <f t="shared" si="6"/>
        <v>4018645.583333333</v>
      </c>
      <c r="H72" s="88">
        <f t="shared" si="6"/>
        <v>185633</v>
      </c>
      <c r="I72" s="88">
        <f t="shared" si="6"/>
        <v>287475.94374999998</v>
      </c>
      <c r="J72" s="88">
        <f t="shared" si="6"/>
        <v>762806645.71003938</v>
      </c>
      <c r="K72" s="275">
        <f t="shared" si="6"/>
        <v>-933442352.48388195</v>
      </c>
      <c r="L72" s="293"/>
      <c r="M72" s="121"/>
    </row>
    <row r="73" spans="1:13" x14ac:dyDescent="0.2">
      <c r="A73" s="65">
        <f t="shared" si="4"/>
        <v>48</v>
      </c>
      <c r="B73" s="130" t="s">
        <v>14</v>
      </c>
      <c r="C73" s="262">
        <v>2014</v>
      </c>
      <c r="D73" s="121">
        <f t="shared" si="6"/>
        <v>14605964.975094885</v>
      </c>
      <c r="E73" s="121">
        <f t="shared" si="6"/>
        <v>1095447.3731321164</v>
      </c>
      <c r="F73" s="121">
        <f t="shared" si="6"/>
        <v>15701412.348227002</v>
      </c>
      <c r="G73" s="121">
        <f t="shared" si="6"/>
        <v>1474429.9166666665</v>
      </c>
      <c r="H73" s="88">
        <f t="shared" si="6"/>
        <v>0</v>
      </c>
      <c r="I73" s="88">
        <f t="shared" si="6"/>
        <v>110582.24374999999</v>
      </c>
      <c r="J73" s="88">
        <f t="shared" si="6"/>
        <v>776923045.8978498</v>
      </c>
      <c r="K73" s="275">
        <f t="shared" si="6"/>
        <v>-919325952.29607153</v>
      </c>
      <c r="L73" s="293"/>
      <c r="M73" s="121"/>
    </row>
    <row r="74" spans="1:13" x14ac:dyDescent="0.2">
      <c r="A74" s="65">
        <f t="shared" si="4"/>
        <v>49</v>
      </c>
      <c r="B74" s="118" t="s">
        <v>15</v>
      </c>
      <c r="C74" s="262">
        <v>2014</v>
      </c>
      <c r="D74" s="121">
        <f t="shared" si="6"/>
        <v>16046375.940404885</v>
      </c>
      <c r="E74" s="121">
        <f t="shared" si="6"/>
        <v>1203478.1955303664</v>
      </c>
      <c r="F74" s="121">
        <f t="shared" si="6"/>
        <v>17249854.135935247</v>
      </c>
      <c r="G74" s="121">
        <f t="shared" si="6"/>
        <v>1434529.9166666665</v>
      </c>
      <c r="H74" s="88">
        <f t="shared" si="6"/>
        <v>0</v>
      </c>
      <c r="I74" s="88">
        <f t="shared" si="6"/>
        <v>107589.74374999999</v>
      </c>
      <c r="J74" s="88">
        <f t="shared" si="6"/>
        <v>792630780.3733685</v>
      </c>
      <c r="K74" s="275">
        <f t="shared" si="6"/>
        <v>-903618217.82055295</v>
      </c>
      <c r="L74" s="293"/>
      <c r="M74" s="121"/>
    </row>
    <row r="75" spans="1:13" x14ac:dyDescent="0.2">
      <c r="A75" s="65">
        <f t="shared" si="4"/>
        <v>50</v>
      </c>
      <c r="B75" s="118" t="s">
        <v>16</v>
      </c>
      <c r="C75" s="262">
        <v>2014</v>
      </c>
      <c r="D75" s="121">
        <f t="shared" ref="D75:K75" si="7">D109+D142+D173+D206+D237+D270+D301+D334+D365+D398</f>
        <v>17864466.010955501</v>
      </c>
      <c r="E75" s="121">
        <f t="shared" si="7"/>
        <v>1339834.9508216626</v>
      </c>
      <c r="F75" s="121">
        <f t="shared" si="7"/>
        <v>19204300.961777166</v>
      </c>
      <c r="G75" s="121">
        <f t="shared" si="7"/>
        <v>1592479.9166666665</v>
      </c>
      <c r="H75" s="88">
        <f t="shared" si="7"/>
        <v>157950</v>
      </c>
      <c r="I75" s="88">
        <f t="shared" si="7"/>
        <v>107589.74374999999</v>
      </c>
      <c r="J75" s="88">
        <f t="shared" si="7"/>
        <v>810135011.67472911</v>
      </c>
      <c r="K75" s="274">
        <f t="shared" si="7"/>
        <v>-886113986.51919234</v>
      </c>
      <c r="L75" s="293"/>
      <c r="M75" s="121"/>
    </row>
    <row r="76" spans="1:13" x14ac:dyDescent="0.2">
      <c r="A76" s="65">
        <f t="shared" si="4"/>
        <v>51</v>
      </c>
      <c r="B76" s="118" t="s">
        <v>18</v>
      </c>
      <c r="C76" s="262">
        <v>2014</v>
      </c>
      <c r="D76" s="121">
        <f>D110+D143+D174+D207+D238+D271+D302+D335+D366</f>
        <v>17361939.494164977</v>
      </c>
      <c r="E76" s="121">
        <f t="shared" ref="E76:K78" si="8">E110+E143+E174+E207+E238+E271+E302+E335+E366+E399</f>
        <v>1302145.4620623731</v>
      </c>
      <c r="F76" s="121">
        <f t="shared" si="8"/>
        <v>18664084.956227347</v>
      </c>
      <c r="G76" s="121">
        <f t="shared" si="8"/>
        <v>1431529.9166666665</v>
      </c>
      <c r="H76" s="88">
        <f t="shared" si="8"/>
        <v>0</v>
      </c>
      <c r="I76" s="88">
        <f t="shared" si="8"/>
        <v>107364.74374999999</v>
      </c>
      <c r="J76" s="88">
        <f t="shared" si="8"/>
        <v>827260201.97053993</v>
      </c>
      <c r="K76" s="274">
        <f t="shared" si="8"/>
        <v>-868988796.22338164</v>
      </c>
      <c r="L76" s="293"/>
      <c r="M76" s="121"/>
    </row>
    <row r="77" spans="1:13" x14ac:dyDescent="0.2">
      <c r="A77" s="65">
        <f t="shared" si="4"/>
        <v>52</v>
      </c>
      <c r="B77" s="118" t="s">
        <v>17</v>
      </c>
      <c r="C77" s="262">
        <v>2014</v>
      </c>
      <c r="D77" s="121">
        <f>D111+D144+D175+D208+D239+D272+D303+D336+D367</f>
        <v>14712574.19445779</v>
      </c>
      <c r="E77" s="121">
        <f t="shared" si="8"/>
        <v>1103443.0645843341</v>
      </c>
      <c r="F77" s="121">
        <f t="shared" si="8"/>
        <v>15816017.259042125</v>
      </c>
      <c r="G77" s="121">
        <f t="shared" si="8"/>
        <v>1589529.9166666665</v>
      </c>
      <c r="H77" s="88">
        <f t="shared" si="8"/>
        <v>0</v>
      </c>
      <c r="I77" s="88">
        <f t="shared" si="8"/>
        <v>119214.74374999999</v>
      </c>
      <c r="J77" s="88">
        <f t="shared" si="8"/>
        <v>841367474.56916535</v>
      </c>
      <c r="K77" s="274">
        <f t="shared" si="8"/>
        <v>-854881523.62475598</v>
      </c>
      <c r="L77" s="293"/>
      <c r="M77" s="121"/>
    </row>
    <row r="78" spans="1:13" x14ac:dyDescent="0.2">
      <c r="A78" s="65">
        <f t="shared" si="4"/>
        <v>53</v>
      </c>
      <c r="B78" s="118" t="s">
        <v>9</v>
      </c>
      <c r="C78" s="262">
        <v>2014</v>
      </c>
      <c r="D78" s="121">
        <f>D112+D145+D176+D209+D240+D273+D304+D337+D368+D401</f>
        <v>15478560.601462318</v>
      </c>
      <c r="E78" s="121">
        <f t="shared" si="8"/>
        <v>1160892.0451096739</v>
      </c>
      <c r="F78" s="121">
        <f t="shared" si="8"/>
        <v>16639452.646571992</v>
      </c>
      <c r="G78" s="121">
        <f t="shared" si="8"/>
        <v>60839963.86666666</v>
      </c>
      <c r="H78" s="88">
        <f t="shared" si="8"/>
        <v>15217238.950000001</v>
      </c>
      <c r="I78" s="88">
        <f t="shared" si="8"/>
        <v>3421704.3687499994</v>
      </c>
      <c r="J78" s="88">
        <f t="shared" si="8"/>
        <v>793745258.98032081</v>
      </c>
      <c r="K78" s="273">
        <f t="shared" si="8"/>
        <v>-902503739.21360075</v>
      </c>
      <c r="L78" s="292"/>
      <c r="M78" s="121"/>
    </row>
    <row r="79" spans="1:13" x14ac:dyDescent="0.2">
      <c r="A79" s="65">
        <f t="shared" si="4"/>
        <v>54</v>
      </c>
      <c r="C79" s="259" t="s">
        <v>343</v>
      </c>
      <c r="K79" s="272">
        <f>AVERAGE(K66:K78)</f>
        <v>-945554700.46903348</v>
      </c>
      <c r="L79" s="291"/>
    </row>
    <row r="81" spans="1:11" x14ac:dyDescent="0.2">
      <c r="B81" s="290" t="s">
        <v>373</v>
      </c>
    </row>
    <row r="82" spans="1:11" s="248" customFormat="1" x14ac:dyDescent="0.2">
      <c r="B82" s="269" t="s">
        <v>372</v>
      </c>
      <c r="D82" s="548" t="s">
        <v>371</v>
      </c>
      <c r="E82" s="548"/>
    </row>
    <row r="83" spans="1:11" s="263" customFormat="1" x14ac:dyDescent="0.2">
      <c r="D83" s="263" t="s">
        <v>167</v>
      </c>
      <c r="E83" s="263" t="s">
        <v>168</v>
      </c>
      <c r="F83" s="263" t="s">
        <v>184</v>
      </c>
      <c r="G83" s="263" t="s">
        <v>185</v>
      </c>
      <c r="H83" s="263" t="s">
        <v>186</v>
      </c>
      <c r="I83" s="263" t="s">
        <v>187</v>
      </c>
      <c r="J83" s="263" t="s">
        <v>188</v>
      </c>
      <c r="K83" s="263" t="s">
        <v>350</v>
      </c>
    </row>
    <row r="84" spans="1:11" s="248" customFormat="1" ht="25.9" customHeight="1" x14ac:dyDescent="0.2">
      <c r="D84" s="265"/>
      <c r="E84" s="264" t="s">
        <v>349</v>
      </c>
      <c r="F84" s="252" t="s">
        <v>348</v>
      </c>
      <c r="G84" s="266"/>
      <c r="H84" s="265"/>
      <c r="I84" s="264" t="s">
        <v>347</v>
      </c>
      <c r="J84" s="264" t="s">
        <v>346</v>
      </c>
      <c r="K84" s="264" t="s">
        <v>345</v>
      </c>
    </row>
    <row r="85" spans="1:11" s="248" customFormat="1" x14ac:dyDescent="0.2">
      <c r="D85" s="265"/>
      <c r="E85" s="289"/>
      <c r="F85" s="289"/>
      <c r="G85" s="60" t="str">
        <f>G51</f>
        <v>Unloaded</v>
      </c>
      <c r="H85" s="265"/>
      <c r="I85" s="289"/>
      <c r="J85" s="289"/>
      <c r="K85" s="60"/>
    </row>
    <row r="86" spans="1:11" s="255" customFormat="1" x14ac:dyDescent="0.2">
      <c r="D86" s="255" t="str">
        <f>D$52</f>
        <v>Forecast</v>
      </c>
      <c r="E86" s="255" t="str">
        <f>E$52</f>
        <v>Corporate</v>
      </c>
      <c r="F86" s="255" t="str">
        <f>F$52</f>
        <v xml:space="preserve">Total </v>
      </c>
      <c r="G86" s="60" t="str">
        <f>G52</f>
        <v>Total</v>
      </c>
      <c r="H86" s="255" t="str">
        <f>H$52</f>
        <v>Prior Period</v>
      </c>
      <c r="I86" s="255" t="str">
        <f>I$52</f>
        <v>Over Heads</v>
      </c>
      <c r="J86" s="255" t="str">
        <f>J$52</f>
        <v>Forecast</v>
      </c>
      <c r="K86" s="60" t="str">
        <f>K$52</f>
        <v>Forecast Period</v>
      </c>
    </row>
    <row r="87" spans="1:11" s="248" customFormat="1" x14ac:dyDescent="0.2">
      <c r="A87" s="102" t="s">
        <v>170</v>
      </c>
      <c r="B87" s="128" t="s">
        <v>19</v>
      </c>
      <c r="C87" s="128" t="s">
        <v>20</v>
      </c>
      <c r="D87" s="263" t="str">
        <f>D$53</f>
        <v>Expenditures</v>
      </c>
      <c r="E87" s="263" t="str">
        <f>E$53</f>
        <v>Overheads</v>
      </c>
      <c r="F87" s="263" t="str">
        <f>F$53</f>
        <v>CWIP Exp</v>
      </c>
      <c r="G87" s="64" t="str">
        <f>G53</f>
        <v>Plant Adds</v>
      </c>
      <c r="H87" s="263" t="str">
        <f>H$53</f>
        <v>CWIP Closed</v>
      </c>
      <c r="I87" s="263" t="str">
        <f>I$53</f>
        <v>Closed to PIS</v>
      </c>
      <c r="J87" s="263" t="str">
        <f>J$53</f>
        <v>Period CWIP</v>
      </c>
      <c r="K87" s="263" t="str">
        <f>K$53</f>
        <v>Incremental CWIP</v>
      </c>
    </row>
    <row r="88" spans="1:11" s="248" customFormat="1" x14ac:dyDescent="0.2">
      <c r="A88" s="65">
        <f>A79+1</f>
        <v>55</v>
      </c>
      <c r="B88" s="130" t="s">
        <v>9</v>
      </c>
      <c r="C88" s="262">
        <v>2012</v>
      </c>
      <c r="D88" s="252" t="s">
        <v>344</v>
      </c>
      <c r="E88" s="252" t="s">
        <v>344</v>
      </c>
      <c r="F88" s="252" t="s">
        <v>344</v>
      </c>
      <c r="G88" s="252" t="s">
        <v>344</v>
      </c>
      <c r="H88" s="252" t="s">
        <v>344</v>
      </c>
      <c r="I88" s="252" t="s">
        <v>344</v>
      </c>
      <c r="J88" s="88">
        <f>E25</f>
        <v>786298777.73778844</v>
      </c>
      <c r="K88" s="252" t="s">
        <v>344</v>
      </c>
    </row>
    <row r="89" spans="1:11" s="248" customFormat="1" x14ac:dyDescent="0.2">
      <c r="A89" s="65">
        <f t="shared" ref="A89:A113" si="9">A88+1</f>
        <v>56</v>
      </c>
      <c r="B89" s="130" t="s">
        <v>10</v>
      </c>
      <c r="C89" s="262">
        <v>2013</v>
      </c>
      <c r="D89" s="261">
        <v>9701433.4199999962</v>
      </c>
      <c r="E89" s="88">
        <v>727607.50649999967</v>
      </c>
      <c r="F89" s="67">
        <f t="shared" ref="F89:F112" si="10">E89+D89</f>
        <v>10429040.926499996</v>
      </c>
      <c r="G89" s="271">
        <v>145265213.62000015</v>
      </c>
      <c r="H89" s="271">
        <v>295158532.56000024</v>
      </c>
      <c r="I89" s="88">
        <v>-11241998.920500007</v>
      </c>
      <c r="J89" s="88">
        <f t="shared" ref="J89:J112" si="11">J88+F89-G89-I89</f>
        <v>662704603.96478832</v>
      </c>
      <c r="K89" s="88">
        <f t="shared" ref="K89:K112" si="12">J89-$J$88</f>
        <v>-123594173.77300012</v>
      </c>
    </row>
    <row r="90" spans="1:11" s="248" customFormat="1" x14ac:dyDescent="0.2">
      <c r="A90" s="65">
        <f t="shared" si="9"/>
        <v>57</v>
      </c>
      <c r="B90" s="118" t="s">
        <v>11</v>
      </c>
      <c r="C90" s="262">
        <v>2013</v>
      </c>
      <c r="D90" s="261">
        <v>21194439.509999998</v>
      </c>
      <c r="E90" s="88">
        <v>1589582.9632499998</v>
      </c>
      <c r="F90" s="88">
        <f t="shared" si="10"/>
        <v>22784022.473249998</v>
      </c>
      <c r="G90" s="271">
        <v>8901321.8600000013</v>
      </c>
      <c r="H90" s="271">
        <v>8901321.8600000013</v>
      </c>
      <c r="I90" s="88">
        <v>0</v>
      </c>
      <c r="J90" s="88">
        <f t="shared" si="11"/>
        <v>676587304.57803833</v>
      </c>
      <c r="K90" s="88">
        <f t="shared" si="12"/>
        <v>-109711473.1597501</v>
      </c>
    </row>
    <row r="91" spans="1:11" s="248" customFormat="1" x14ac:dyDescent="0.2">
      <c r="A91" s="65">
        <f t="shared" si="9"/>
        <v>58</v>
      </c>
      <c r="B91" s="118" t="s">
        <v>21</v>
      </c>
      <c r="C91" s="262">
        <v>2013</v>
      </c>
      <c r="D91" s="261">
        <v>24702735.060779326</v>
      </c>
      <c r="E91" s="88">
        <v>1852705.1295584494</v>
      </c>
      <c r="F91" s="88">
        <f t="shared" si="10"/>
        <v>26555440.190337773</v>
      </c>
      <c r="G91" s="271">
        <v>1810508.7900000007</v>
      </c>
      <c r="H91" s="271">
        <v>1810508.7900000007</v>
      </c>
      <c r="I91" s="67">
        <v>0</v>
      </c>
      <c r="J91" s="88">
        <f t="shared" si="11"/>
        <v>701332235.97837615</v>
      </c>
      <c r="K91" s="88">
        <f t="shared" si="12"/>
        <v>-84966541.759412289</v>
      </c>
    </row>
    <row r="92" spans="1:11" s="248" customFormat="1" x14ac:dyDescent="0.2">
      <c r="A92" s="65">
        <f t="shared" si="9"/>
        <v>59</v>
      </c>
      <c r="B92" s="130" t="s">
        <v>12</v>
      </c>
      <c r="C92" s="262">
        <v>2013</v>
      </c>
      <c r="D92" s="261">
        <v>29500491.529659335</v>
      </c>
      <c r="E92" s="88">
        <v>2212536.8647244498</v>
      </c>
      <c r="F92" s="88">
        <f t="shared" si="10"/>
        <v>31713028.394383784</v>
      </c>
      <c r="G92" s="271">
        <v>8804478.7328800019</v>
      </c>
      <c r="H92" s="271">
        <v>8804478.7328800019</v>
      </c>
      <c r="I92" s="67">
        <v>0</v>
      </c>
      <c r="J92" s="88">
        <f t="shared" si="11"/>
        <v>724240785.63987994</v>
      </c>
      <c r="K92" s="88">
        <f t="shared" si="12"/>
        <v>-62057992.097908497</v>
      </c>
    </row>
    <row r="93" spans="1:11" s="248" customFormat="1" x14ac:dyDescent="0.2">
      <c r="A93" s="65">
        <f t="shared" si="9"/>
        <v>60</v>
      </c>
      <c r="B93" s="118" t="s">
        <v>13</v>
      </c>
      <c r="C93" s="262">
        <v>2013</v>
      </c>
      <c r="D93" s="261">
        <v>22419669.438779328</v>
      </c>
      <c r="E93" s="88">
        <v>1681475.2079084495</v>
      </c>
      <c r="F93" s="88">
        <f t="shared" si="10"/>
        <v>24101144.646687776</v>
      </c>
      <c r="G93" s="271">
        <v>2663544.2279999997</v>
      </c>
      <c r="H93" s="271">
        <v>2445729.108</v>
      </c>
      <c r="I93" s="67">
        <v>16336.133999999973</v>
      </c>
      <c r="J93" s="88">
        <f t="shared" si="11"/>
        <v>745662049.9245677</v>
      </c>
      <c r="K93" s="88">
        <f t="shared" si="12"/>
        <v>-40636727.813220739</v>
      </c>
    </row>
    <row r="94" spans="1:11" s="248" customFormat="1" x14ac:dyDescent="0.2">
      <c r="A94" s="65">
        <f t="shared" si="9"/>
        <v>61</v>
      </c>
      <c r="B94" s="118" t="s">
        <v>28</v>
      </c>
      <c r="C94" s="262">
        <v>2013</v>
      </c>
      <c r="D94" s="261">
        <v>12557096.83877933</v>
      </c>
      <c r="E94" s="88">
        <v>941782.26290844975</v>
      </c>
      <c r="F94" s="88">
        <f t="shared" si="10"/>
        <v>13498879.10168778</v>
      </c>
      <c r="G94" s="271">
        <v>28024666.607999995</v>
      </c>
      <c r="H94" s="271">
        <v>26868820.717999995</v>
      </c>
      <c r="I94" s="67">
        <v>86688.441750000042</v>
      </c>
      <c r="J94" s="88">
        <f t="shared" si="11"/>
        <v>731049573.9765054</v>
      </c>
      <c r="K94" s="88">
        <f t="shared" si="12"/>
        <v>-55249203.76128304</v>
      </c>
    </row>
    <row r="95" spans="1:11" s="248" customFormat="1" x14ac:dyDescent="0.2">
      <c r="A95" s="65">
        <f t="shared" si="9"/>
        <v>62</v>
      </c>
      <c r="B95" s="130" t="s">
        <v>14</v>
      </c>
      <c r="C95" s="262">
        <v>2013</v>
      </c>
      <c r="D95" s="261">
        <v>17914539.280779328</v>
      </c>
      <c r="E95" s="88">
        <v>1343590.4460584496</v>
      </c>
      <c r="F95" s="88">
        <f t="shared" si="10"/>
        <v>19258129.726837777</v>
      </c>
      <c r="G95" s="271">
        <v>1493955.0000000002</v>
      </c>
      <c r="H95" s="271">
        <v>1243695.0000000002</v>
      </c>
      <c r="I95" s="67">
        <v>18769.5</v>
      </c>
      <c r="J95" s="88">
        <f t="shared" si="11"/>
        <v>748794979.20334315</v>
      </c>
      <c r="K95" s="88">
        <f t="shared" si="12"/>
        <v>-37503798.534445286</v>
      </c>
    </row>
    <row r="96" spans="1:11" s="248" customFormat="1" x14ac:dyDescent="0.2">
      <c r="A96" s="65">
        <f t="shared" si="9"/>
        <v>63</v>
      </c>
      <c r="B96" s="118" t="s">
        <v>15</v>
      </c>
      <c r="C96" s="262">
        <v>2013</v>
      </c>
      <c r="D96" s="261">
        <v>23603880.320779331</v>
      </c>
      <c r="E96" s="88">
        <v>1770291.0240584498</v>
      </c>
      <c r="F96" s="88">
        <f t="shared" si="10"/>
        <v>25374171.344837781</v>
      </c>
      <c r="G96" s="271">
        <v>1721976.7200000002</v>
      </c>
      <c r="H96" s="271">
        <v>1491336.72</v>
      </c>
      <c r="I96" s="67">
        <v>17298.000000000018</v>
      </c>
      <c r="J96" s="88">
        <f t="shared" si="11"/>
        <v>772429875.82818091</v>
      </c>
      <c r="K96" s="88">
        <f t="shared" si="12"/>
        <v>-13868901.90960753</v>
      </c>
    </row>
    <row r="97" spans="1:11" s="248" customFormat="1" x14ac:dyDescent="0.2">
      <c r="A97" s="65">
        <f t="shared" si="9"/>
        <v>64</v>
      </c>
      <c r="B97" s="118" t="s">
        <v>16</v>
      </c>
      <c r="C97" s="262">
        <v>2013</v>
      </c>
      <c r="D97" s="261">
        <v>15876401.24877933</v>
      </c>
      <c r="E97" s="88">
        <v>1190730.0936584498</v>
      </c>
      <c r="F97" s="88">
        <f t="shared" si="10"/>
        <v>17067131.342437781</v>
      </c>
      <c r="G97" s="271">
        <v>2239719.4079999998</v>
      </c>
      <c r="H97" s="271">
        <v>2047299.4080000001</v>
      </c>
      <c r="I97" s="67">
        <v>14431.499999999982</v>
      </c>
      <c r="J97" s="88">
        <f t="shared" si="11"/>
        <v>787242856.26261866</v>
      </c>
      <c r="K97" s="88">
        <f t="shared" si="12"/>
        <v>944078.52483022213</v>
      </c>
    </row>
    <row r="98" spans="1:11" s="248" customFormat="1" x14ac:dyDescent="0.2">
      <c r="A98" s="65">
        <f t="shared" si="9"/>
        <v>65</v>
      </c>
      <c r="B98" s="130" t="s">
        <v>18</v>
      </c>
      <c r="C98" s="262">
        <v>2013</v>
      </c>
      <c r="D98" s="261">
        <v>47249610.188779317</v>
      </c>
      <c r="E98" s="88">
        <v>3543720.7641584487</v>
      </c>
      <c r="F98" s="88">
        <f t="shared" si="10"/>
        <v>50793330.952937767</v>
      </c>
      <c r="G98" s="271">
        <v>2373099.4079999998</v>
      </c>
      <c r="H98" s="271">
        <v>2179499.4080000003</v>
      </c>
      <c r="I98" s="88">
        <v>14519.999999999965</v>
      </c>
      <c r="J98" s="88">
        <f t="shared" si="11"/>
        <v>835648567.80755639</v>
      </c>
      <c r="K98" s="88">
        <f t="shared" si="12"/>
        <v>49349790.069767952</v>
      </c>
    </row>
    <row r="99" spans="1:11" s="248" customFormat="1" x14ac:dyDescent="0.2">
      <c r="A99" s="65">
        <f t="shared" si="9"/>
        <v>66</v>
      </c>
      <c r="B99" s="130" t="s">
        <v>17</v>
      </c>
      <c r="C99" s="262">
        <v>2013</v>
      </c>
      <c r="D99" s="261">
        <v>17858992.377779327</v>
      </c>
      <c r="E99" s="88">
        <v>1339424.4283334494</v>
      </c>
      <c r="F99" s="88">
        <f t="shared" si="10"/>
        <v>19198416.806112777</v>
      </c>
      <c r="G99" s="271">
        <v>211254694.74450725</v>
      </c>
      <c r="H99" s="271">
        <v>111091694.4000003</v>
      </c>
      <c r="I99" s="88">
        <v>7512225.0258380212</v>
      </c>
      <c r="J99" s="88">
        <f t="shared" si="11"/>
        <v>636080064.84332383</v>
      </c>
      <c r="K99" s="88">
        <f t="shared" si="12"/>
        <v>-150218712.89446461</v>
      </c>
    </row>
    <row r="100" spans="1:11" s="248" customFormat="1" x14ac:dyDescent="0.2">
      <c r="A100" s="65">
        <f t="shared" si="9"/>
        <v>67</v>
      </c>
      <c r="B100" s="130" t="s">
        <v>9</v>
      </c>
      <c r="C100" s="262">
        <v>2013</v>
      </c>
      <c r="D100" s="261">
        <v>-2465279.3676325437</v>
      </c>
      <c r="E100" s="88">
        <v>-184895.95257244076</v>
      </c>
      <c r="F100" s="88">
        <f t="shared" si="10"/>
        <v>-2650175.3202049844</v>
      </c>
      <c r="G100" s="271">
        <v>76443490.521450773</v>
      </c>
      <c r="H100" s="271">
        <v>71757044.600700766</v>
      </c>
      <c r="I100" s="67">
        <v>351483.4440562505</v>
      </c>
      <c r="J100" s="88">
        <f t="shared" si="11"/>
        <v>556634915.55761182</v>
      </c>
      <c r="K100" s="88">
        <f t="shared" si="12"/>
        <v>-229663862.18017662</v>
      </c>
    </row>
    <row r="101" spans="1:11" s="248" customFormat="1" x14ac:dyDescent="0.2">
      <c r="A101" s="65">
        <f t="shared" si="9"/>
        <v>68</v>
      </c>
      <c r="B101" s="130" t="s">
        <v>10</v>
      </c>
      <c r="C101" s="262">
        <v>2014</v>
      </c>
      <c r="D101" s="261">
        <v>28100958.044000003</v>
      </c>
      <c r="E101" s="88">
        <v>2107571.8533000001</v>
      </c>
      <c r="F101" s="88">
        <f t="shared" si="10"/>
        <v>30208529.897300005</v>
      </c>
      <c r="G101" s="271">
        <v>6949482.9140000008</v>
      </c>
      <c r="H101" s="271">
        <v>311404.80000000005</v>
      </c>
      <c r="I101" s="67">
        <v>497855.85855000006</v>
      </c>
      <c r="J101" s="88">
        <f t="shared" si="11"/>
        <v>579396106.68236184</v>
      </c>
      <c r="K101" s="88">
        <f t="shared" si="12"/>
        <v>-206902671.0554266</v>
      </c>
    </row>
    <row r="102" spans="1:11" s="248" customFormat="1" x14ac:dyDescent="0.2">
      <c r="A102" s="65">
        <f t="shared" si="9"/>
        <v>69</v>
      </c>
      <c r="B102" s="118" t="s">
        <v>11</v>
      </c>
      <c r="C102" s="262">
        <v>2014</v>
      </c>
      <c r="D102" s="261">
        <v>30861163.364000004</v>
      </c>
      <c r="E102" s="88">
        <v>2314587.2523000003</v>
      </c>
      <c r="F102" s="88">
        <f t="shared" si="10"/>
        <v>33175750.616300005</v>
      </c>
      <c r="G102" s="271">
        <v>7966495.8740000008</v>
      </c>
      <c r="H102" s="271">
        <v>370817.76</v>
      </c>
      <c r="I102" s="67">
        <v>569675.85855</v>
      </c>
      <c r="J102" s="88">
        <f t="shared" si="11"/>
        <v>604035685.56611192</v>
      </c>
      <c r="K102" s="88">
        <f t="shared" si="12"/>
        <v>-182263092.17167652</v>
      </c>
    </row>
    <row r="103" spans="1:11" s="248" customFormat="1" x14ac:dyDescent="0.2">
      <c r="A103" s="65">
        <f t="shared" si="9"/>
        <v>70</v>
      </c>
      <c r="B103" s="118" t="s">
        <v>21</v>
      </c>
      <c r="C103" s="262">
        <v>2014</v>
      </c>
      <c r="D103" s="261">
        <v>32147195.084000003</v>
      </c>
      <c r="E103" s="88">
        <v>2411039.6313</v>
      </c>
      <c r="F103" s="88">
        <f t="shared" si="10"/>
        <v>34558234.715300001</v>
      </c>
      <c r="G103" s="271">
        <v>7646067.5540000014</v>
      </c>
      <c r="H103" s="271">
        <v>437989.44</v>
      </c>
      <c r="I103" s="67">
        <v>540605.85855</v>
      </c>
      <c r="J103" s="88">
        <f t="shared" si="11"/>
        <v>630407246.86886191</v>
      </c>
      <c r="K103" s="88">
        <f t="shared" si="12"/>
        <v>-155891530.86892653</v>
      </c>
    </row>
    <row r="104" spans="1:11" s="248" customFormat="1" x14ac:dyDescent="0.2">
      <c r="A104" s="65">
        <f t="shared" si="9"/>
        <v>71</v>
      </c>
      <c r="B104" s="130" t="s">
        <v>12</v>
      </c>
      <c r="C104" s="262">
        <v>2014</v>
      </c>
      <c r="D104" s="261">
        <v>14289165.646666666</v>
      </c>
      <c r="E104" s="88">
        <v>1071687.4235</v>
      </c>
      <c r="F104" s="88">
        <f t="shared" si="10"/>
        <v>15360853.070166666</v>
      </c>
      <c r="G104" s="271">
        <v>2257141.9166666665</v>
      </c>
      <c r="H104" s="271">
        <v>300000</v>
      </c>
      <c r="I104" s="67">
        <v>146785.64374999999</v>
      </c>
      <c r="J104" s="88">
        <f t="shared" si="11"/>
        <v>643364172.37861204</v>
      </c>
      <c r="K104" s="88">
        <f t="shared" si="12"/>
        <v>-142934605.3591764</v>
      </c>
    </row>
    <row r="105" spans="1:11" s="248" customFormat="1" x14ac:dyDescent="0.2">
      <c r="A105" s="65">
        <f t="shared" si="9"/>
        <v>72</v>
      </c>
      <c r="B105" s="118" t="s">
        <v>13</v>
      </c>
      <c r="C105" s="262">
        <v>2014</v>
      </c>
      <c r="D105" s="261">
        <v>17162740.24666667</v>
      </c>
      <c r="E105" s="88">
        <v>1287205.5185000002</v>
      </c>
      <c r="F105" s="88">
        <f t="shared" si="10"/>
        <v>18449945.76516667</v>
      </c>
      <c r="G105" s="271">
        <v>1687141.9166666667</v>
      </c>
      <c r="H105" s="271">
        <v>300000</v>
      </c>
      <c r="I105" s="67">
        <v>104035.64375</v>
      </c>
      <c r="J105" s="88">
        <f t="shared" si="11"/>
        <v>660022940.5833621</v>
      </c>
      <c r="K105" s="88">
        <f t="shared" si="12"/>
        <v>-126275837.15442634</v>
      </c>
    </row>
    <row r="106" spans="1:11" s="248" customFormat="1" x14ac:dyDescent="0.2">
      <c r="A106" s="65">
        <f t="shared" si="9"/>
        <v>73</v>
      </c>
      <c r="B106" s="118" t="s">
        <v>28</v>
      </c>
      <c r="C106" s="262">
        <v>2014</v>
      </c>
      <c r="D106" s="261">
        <v>13558517.046666665</v>
      </c>
      <c r="E106" s="88">
        <v>1016888.7784999998</v>
      </c>
      <c r="F106" s="88">
        <f t="shared" si="10"/>
        <v>14575405.825166665</v>
      </c>
      <c r="G106" s="271">
        <v>1579974.9166666665</v>
      </c>
      <c r="H106" s="271">
        <v>185633</v>
      </c>
      <c r="I106" s="88">
        <v>104575.64374999999</v>
      </c>
      <c r="J106" s="88">
        <f t="shared" si="11"/>
        <v>672913795.84811223</v>
      </c>
      <c r="K106" s="88">
        <f t="shared" si="12"/>
        <v>-113384981.88967621</v>
      </c>
    </row>
    <row r="107" spans="1:11" s="248" customFormat="1" x14ac:dyDescent="0.2">
      <c r="A107" s="65">
        <f t="shared" si="9"/>
        <v>74</v>
      </c>
      <c r="B107" s="130" t="s">
        <v>14</v>
      </c>
      <c r="C107" s="262">
        <v>2014</v>
      </c>
      <c r="D107" s="261">
        <v>11670587.046666667</v>
      </c>
      <c r="E107" s="88">
        <v>875294.02850000001</v>
      </c>
      <c r="F107" s="88">
        <f t="shared" si="10"/>
        <v>12545881.075166667</v>
      </c>
      <c r="G107" s="271">
        <v>900429.91666666663</v>
      </c>
      <c r="H107" s="271">
        <v>0</v>
      </c>
      <c r="I107" s="88">
        <v>67532.243749999994</v>
      </c>
      <c r="J107" s="88">
        <f t="shared" si="11"/>
        <v>684491714.76286232</v>
      </c>
      <c r="K107" s="88">
        <f t="shared" si="12"/>
        <v>-101807062.97492611</v>
      </c>
    </row>
    <row r="108" spans="1:11" s="248" customFormat="1" x14ac:dyDescent="0.2">
      <c r="A108" s="65">
        <f t="shared" si="9"/>
        <v>75</v>
      </c>
      <c r="B108" s="118" t="s">
        <v>15</v>
      </c>
      <c r="C108" s="262">
        <v>2014</v>
      </c>
      <c r="D108" s="261">
        <v>12143877.126666667</v>
      </c>
      <c r="E108" s="88">
        <v>910790.78449999995</v>
      </c>
      <c r="F108" s="88">
        <f t="shared" si="10"/>
        <v>13054667.911166666</v>
      </c>
      <c r="G108" s="271">
        <v>860529.91666666663</v>
      </c>
      <c r="H108" s="271">
        <v>0</v>
      </c>
      <c r="I108" s="88">
        <v>64539.743749999994</v>
      </c>
      <c r="J108" s="88">
        <f t="shared" si="11"/>
        <v>696621313.01361239</v>
      </c>
      <c r="K108" s="88">
        <f t="shared" si="12"/>
        <v>-89677464.724176049</v>
      </c>
    </row>
    <row r="109" spans="1:11" s="248" customFormat="1" x14ac:dyDescent="0.2">
      <c r="A109" s="65">
        <f t="shared" si="9"/>
        <v>76</v>
      </c>
      <c r="B109" s="118" t="s">
        <v>16</v>
      </c>
      <c r="C109" s="262">
        <v>2014</v>
      </c>
      <c r="D109" s="261">
        <v>14613879.246666666</v>
      </c>
      <c r="E109" s="88">
        <v>1096040.9434999998</v>
      </c>
      <c r="F109" s="88">
        <f t="shared" si="10"/>
        <v>15709920.190166665</v>
      </c>
      <c r="G109" s="271">
        <v>1018479.9166666666</v>
      </c>
      <c r="H109" s="271">
        <v>157950</v>
      </c>
      <c r="I109" s="67">
        <v>64539.743749999994</v>
      </c>
      <c r="J109" s="88">
        <f t="shared" si="11"/>
        <v>711248213.5433625</v>
      </c>
      <c r="K109" s="88">
        <f t="shared" si="12"/>
        <v>-75050564.194425941</v>
      </c>
    </row>
    <row r="110" spans="1:11" s="248" customFormat="1" x14ac:dyDescent="0.2">
      <c r="A110" s="65">
        <f t="shared" si="9"/>
        <v>77</v>
      </c>
      <c r="B110" s="118" t="s">
        <v>18</v>
      </c>
      <c r="C110" s="262">
        <v>2014</v>
      </c>
      <c r="D110" s="261">
        <v>12436262.286666665</v>
      </c>
      <c r="E110" s="88">
        <v>932719.67149999982</v>
      </c>
      <c r="F110" s="88">
        <f t="shared" si="10"/>
        <v>13368981.958166664</v>
      </c>
      <c r="G110" s="271">
        <v>860529.91666666663</v>
      </c>
      <c r="H110" s="271">
        <v>0</v>
      </c>
      <c r="I110" s="88">
        <v>64539.743749999994</v>
      </c>
      <c r="J110" s="88">
        <f t="shared" si="11"/>
        <v>723692125.84111261</v>
      </c>
      <c r="K110" s="88">
        <f t="shared" si="12"/>
        <v>-62606651.896675825</v>
      </c>
    </row>
    <row r="111" spans="1:11" s="248" customFormat="1" x14ac:dyDescent="0.2">
      <c r="A111" s="65">
        <f t="shared" si="9"/>
        <v>78</v>
      </c>
      <c r="B111" s="118" t="s">
        <v>17</v>
      </c>
      <c r="C111" s="262">
        <v>2014</v>
      </c>
      <c r="D111" s="261">
        <v>9424638.0066666678</v>
      </c>
      <c r="E111" s="88">
        <v>706847.85050000006</v>
      </c>
      <c r="F111" s="88">
        <f t="shared" si="10"/>
        <v>10131485.857166668</v>
      </c>
      <c r="G111" s="271">
        <v>860529.91666666663</v>
      </c>
      <c r="H111" s="271">
        <v>0</v>
      </c>
      <c r="I111" s="88">
        <v>64539.743749999994</v>
      </c>
      <c r="J111" s="88">
        <f t="shared" si="11"/>
        <v>732898542.03786266</v>
      </c>
      <c r="K111" s="88">
        <f t="shared" si="12"/>
        <v>-53400235.69992578</v>
      </c>
    </row>
    <row r="112" spans="1:11" s="248" customFormat="1" x14ac:dyDescent="0.2">
      <c r="A112" s="65">
        <f t="shared" si="9"/>
        <v>79</v>
      </c>
      <c r="B112" s="118" t="s">
        <v>9</v>
      </c>
      <c r="C112" s="262">
        <v>2014</v>
      </c>
      <c r="D112" s="261">
        <v>9244234.2866666652</v>
      </c>
      <c r="E112" s="88">
        <v>693317.57149999985</v>
      </c>
      <c r="F112" s="88">
        <f t="shared" si="10"/>
        <v>9937551.8581666648</v>
      </c>
      <c r="G112" s="271">
        <v>15874280.736666666</v>
      </c>
      <c r="H112" s="271">
        <v>13603555.82</v>
      </c>
      <c r="I112" s="67">
        <v>170304.36874999994</v>
      </c>
      <c r="J112" s="88">
        <f t="shared" si="11"/>
        <v>726791508.7906127</v>
      </c>
      <c r="K112" s="260">
        <f t="shared" si="12"/>
        <v>-59507268.947175741</v>
      </c>
    </row>
    <row r="113" spans="1:11" s="248" customFormat="1" x14ac:dyDescent="0.2">
      <c r="A113" s="65">
        <f t="shared" si="9"/>
        <v>80</v>
      </c>
      <c r="B113"/>
      <c r="C113" s="259" t="s">
        <v>343</v>
      </c>
      <c r="D113"/>
      <c r="E113"/>
      <c r="F113"/>
      <c r="G113"/>
      <c r="H113" s="288"/>
      <c r="I113" s="57"/>
      <c r="J113" s="57"/>
      <c r="K113" s="270">
        <f>AVERAGE(K100:K112)</f>
        <v>-123028140.70129158</v>
      </c>
    </row>
    <row r="114" spans="1:11" s="248" customFormat="1" x14ac:dyDescent="0.2">
      <c r="A114" s="65"/>
      <c r="B114"/>
      <c r="C114" s="259"/>
      <c r="D114"/>
      <c r="E114"/>
      <c r="F114"/>
      <c r="G114"/>
      <c r="H114"/>
      <c r="I114"/>
      <c r="J114"/>
      <c r="K114" s="258"/>
    </row>
    <row r="115" spans="1:11" s="248" customFormat="1" x14ac:dyDescent="0.2">
      <c r="B115" s="269" t="s">
        <v>370</v>
      </c>
      <c r="D115" s="548" t="s">
        <v>369</v>
      </c>
      <c r="E115" s="548"/>
    </row>
    <row r="116" spans="1:11" s="248" customFormat="1" x14ac:dyDescent="0.2">
      <c r="A116" s="263"/>
      <c r="B116" s="263"/>
      <c r="C116" s="263"/>
      <c r="D116" s="263" t="s">
        <v>167</v>
      </c>
      <c r="E116" s="263" t="s">
        <v>168</v>
      </c>
      <c r="F116" s="263" t="s">
        <v>184</v>
      </c>
      <c r="G116" s="263" t="s">
        <v>185</v>
      </c>
      <c r="H116" s="263" t="s">
        <v>186</v>
      </c>
      <c r="I116" s="263" t="s">
        <v>187</v>
      </c>
      <c r="J116" s="263" t="s">
        <v>188</v>
      </c>
      <c r="K116" s="263" t="s">
        <v>350</v>
      </c>
    </row>
    <row r="117" spans="1:11" s="248" customFormat="1" ht="38.25" x14ac:dyDescent="0.2">
      <c r="D117" s="265"/>
      <c r="E117" s="264" t="s">
        <v>349</v>
      </c>
      <c r="F117" s="252" t="s">
        <v>348</v>
      </c>
      <c r="G117" s="266"/>
      <c r="H117" s="265"/>
      <c r="I117" s="264" t="s">
        <v>347</v>
      </c>
      <c r="J117" s="264" t="s">
        <v>346</v>
      </c>
      <c r="K117" s="264" t="s">
        <v>345</v>
      </c>
    </row>
    <row r="118" spans="1:11" s="248" customFormat="1" x14ac:dyDescent="0.2">
      <c r="D118" s="265"/>
      <c r="E118" s="265"/>
      <c r="F118" s="265"/>
      <c r="G118" s="60" t="str">
        <f>G51</f>
        <v>Unloaded</v>
      </c>
      <c r="H118" s="265"/>
      <c r="I118" s="265"/>
    </row>
    <row r="119" spans="1:11" s="248" customFormat="1" x14ac:dyDescent="0.2">
      <c r="A119" s="255"/>
      <c r="B119" s="255"/>
      <c r="C119" s="255"/>
      <c r="D119" s="255" t="str">
        <f>D$52</f>
        <v>Forecast</v>
      </c>
      <c r="E119" s="255" t="str">
        <f>E$52</f>
        <v>Corporate</v>
      </c>
      <c r="F119" s="255" t="str">
        <f>F$52</f>
        <v xml:space="preserve">Total </v>
      </c>
      <c r="G119" s="60" t="str">
        <f>G52</f>
        <v>Total</v>
      </c>
      <c r="H119" s="255" t="str">
        <f>H$52</f>
        <v>Prior Period</v>
      </c>
      <c r="I119" s="255" t="str">
        <f>I$52</f>
        <v>Over Heads</v>
      </c>
      <c r="J119" s="255" t="str">
        <f>J$52</f>
        <v>Forecast</v>
      </c>
      <c r="K119" s="60" t="str">
        <f>K$52</f>
        <v>Forecast Period</v>
      </c>
    </row>
    <row r="120" spans="1:11" s="248" customFormat="1" x14ac:dyDescent="0.2">
      <c r="A120" s="102" t="s">
        <v>170</v>
      </c>
      <c r="B120" s="128" t="s">
        <v>19</v>
      </c>
      <c r="C120" s="128" t="s">
        <v>20</v>
      </c>
      <c r="D120" s="263" t="str">
        <f>D$53</f>
        <v>Expenditures</v>
      </c>
      <c r="E120" s="263" t="str">
        <f>E$53</f>
        <v>Overheads</v>
      </c>
      <c r="F120" s="263" t="str">
        <f>F$53</f>
        <v>CWIP Exp</v>
      </c>
      <c r="G120" s="64" t="str">
        <f>G53</f>
        <v>Plant Adds</v>
      </c>
      <c r="H120" s="263" t="str">
        <f>H$53</f>
        <v>CWIP Closed</v>
      </c>
      <c r="I120" s="263" t="str">
        <f>I$53</f>
        <v>Closed to PIS</v>
      </c>
      <c r="J120" s="263" t="str">
        <f>J$53</f>
        <v>Period CWIP</v>
      </c>
      <c r="K120" s="263" t="str">
        <f>K$53</f>
        <v>Incremental CWIP</v>
      </c>
    </row>
    <row r="121" spans="1:11" s="248" customFormat="1" ht="13.5" thickBot="1" x14ac:dyDescent="0.25">
      <c r="A121" s="65">
        <f>A113+1</f>
        <v>81</v>
      </c>
      <c r="B121" s="130" t="s">
        <v>9</v>
      </c>
      <c r="C121" s="262">
        <v>2012</v>
      </c>
      <c r="D121" s="287" t="s">
        <v>344</v>
      </c>
      <c r="E121" s="252" t="s">
        <v>344</v>
      </c>
      <c r="F121" s="252" t="s">
        <v>344</v>
      </c>
      <c r="G121" s="252" t="s">
        <v>344</v>
      </c>
      <c r="H121" s="252" t="s">
        <v>344</v>
      </c>
      <c r="I121" s="252" t="s">
        <v>344</v>
      </c>
      <c r="J121" s="275">
        <f>F25</f>
        <v>536280836.56999999</v>
      </c>
      <c r="K121" s="252" t="s">
        <v>344</v>
      </c>
    </row>
    <row r="122" spans="1:11" s="248" customFormat="1" ht="13.5" thickBot="1" x14ac:dyDescent="0.25">
      <c r="A122" s="65">
        <f t="shared" ref="A122:A146" si="13">A121+1</f>
        <v>82</v>
      </c>
      <c r="B122" s="130" t="s">
        <v>10</v>
      </c>
      <c r="C122" s="262">
        <v>2013</v>
      </c>
      <c r="D122" s="283">
        <v>14331199.449999999</v>
      </c>
      <c r="E122" s="280">
        <v>1074839.95875</v>
      </c>
      <c r="F122" s="275">
        <f t="shared" ref="F122:F145" si="14">E122+D122</f>
        <v>15406039.408749999</v>
      </c>
      <c r="G122" s="286">
        <v>0</v>
      </c>
      <c r="H122" s="261">
        <v>0</v>
      </c>
      <c r="I122" s="88">
        <v>0</v>
      </c>
      <c r="J122" s="275">
        <f t="shared" ref="J122:J145" si="15">J121+F122-G122-I122</f>
        <v>551686875.97874999</v>
      </c>
      <c r="K122" s="274">
        <f t="shared" ref="K122:K145" si="16">J122-$J$121</f>
        <v>15406039.408749998</v>
      </c>
    </row>
    <row r="123" spans="1:11" s="248" customFormat="1" ht="13.5" thickBot="1" x14ac:dyDescent="0.25">
      <c r="A123" s="65">
        <f t="shared" si="13"/>
        <v>83</v>
      </c>
      <c r="B123" s="118" t="s">
        <v>11</v>
      </c>
      <c r="C123" s="262">
        <v>2013</v>
      </c>
      <c r="D123" s="279">
        <v>21229995.270000003</v>
      </c>
      <c r="E123" s="275">
        <v>1592249.6452500003</v>
      </c>
      <c r="F123" s="275">
        <f t="shared" si="14"/>
        <v>22822244.915250003</v>
      </c>
      <c r="G123" s="285">
        <v>0</v>
      </c>
      <c r="H123" s="284">
        <v>0</v>
      </c>
      <c r="I123" s="275">
        <v>0</v>
      </c>
      <c r="J123" s="88">
        <f t="shared" si="15"/>
        <v>574509120.89400005</v>
      </c>
      <c r="K123" s="274">
        <f t="shared" si="16"/>
        <v>38228284.324000061</v>
      </c>
    </row>
    <row r="124" spans="1:11" s="248" customFormat="1" x14ac:dyDescent="0.2">
      <c r="A124" s="65">
        <f t="shared" si="13"/>
        <v>84</v>
      </c>
      <c r="B124" s="118" t="s">
        <v>21</v>
      </c>
      <c r="C124" s="262">
        <v>2013</v>
      </c>
      <c r="D124" s="276">
        <v>42754481.129999995</v>
      </c>
      <c r="E124" s="280">
        <v>3206586.0847499995</v>
      </c>
      <c r="F124" s="275">
        <f t="shared" si="14"/>
        <v>45961067.214749992</v>
      </c>
      <c r="G124" s="276">
        <v>0</v>
      </c>
      <c r="H124" s="283">
        <v>0</v>
      </c>
      <c r="I124" s="275">
        <v>0</v>
      </c>
      <c r="J124" s="88">
        <f t="shared" si="15"/>
        <v>620470188.1087501</v>
      </c>
      <c r="K124" s="274">
        <f t="shared" si="16"/>
        <v>84189351.538750112</v>
      </c>
    </row>
    <row r="125" spans="1:11" s="248" customFormat="1" x14ac:dyDescent="0.2">
      <c r="A125" s="65">
        <f t="shared" si="13"/>
        <v>85</v>
      </c>
      <c r="B125" s="130" t="s">
        <v>12</v>
      </c>
      <c r="C125" s="282">
        <v>2013</v>
      </c>
      <c r="D125" s="281">
        <v>34586027.866805755</v>
      </c>
      <c r="E125" s="275">
        <v>2593952.0900104316</v>
      </c>
      <c r="F125" s="275">
        <f t="shared" si="14"/>
        <v>37179979.956816189</v>
      </c>
      <c r="G125" s="279">
        <v>0</v>
      </c>
      <c r="H125" s="276">
        <v>0</v>
      </c>
      <c r="I125" s="275">
        <v>0</v>
      </c>
      <c r="J125" s="88">
        <f t="shared" si="15"/>
        <v>657650168.0655663</v>
      </c>
      <c r="K125" s="274">
        <f t="shared" si="16"/>
        <v>121369331.49556631</v>
      </c>
    </row>
    <row r="126" spans="1:11" s="248" customFormat="1" x14ac:dyDescent="0.2">
      <c r="A126" s="65">
        <f t="shared" si="13"/>
        <v>86</v>
      </c>
      <c r="B126" s="118" t="s">
        <v>13</v>
      </c>
      <c r="C126" s="262">
        <v>2013</v>
      </c>
      <c r="D126" s="276">
        <v>27079581.555671453</v>
      </c>
      <c r="E126" s="280">
        <v>2030968.616675359</v>
      </c>
      <c r="F126" s="275">
        <f t="shared" si="14"/>
        <v>29110550.172346812</v>
      </c>
      <c r="G126" s="276">
        <v>325733559.97960216</v>
      </c>
      <c r="H126" s="276">
        <v>269228626.37000048</v>
      </c>
      <c r="I126" s="275">
        <v>4237870.0207201252</v>
      </c>
      <c r="J126" s="88">
        <f t="shared" si="15"/>
        <v>356789288.23759085</v>
      </c>
      <c r="K126" s="274">
        <f t="shared" si="16"/>
        <v>-179491548.33240914</v>
      </c>
    </row>
    <row r="127" spans="1:11" s="248" customFormat="1" x14ac:dyDescent="0.2">
      <c r="A127" s="65">
        <f t="shared" si="13"/>
        <v>87</v>
      </c>
      <c r="B127" s="118" t="s">
        <v>28</v>
      </c>
      <c r="C127" s="262">
        <v>2013</v>
      </c>
      <c r="D127" s="279">
        <v>19039735.244537175</v>
      </c>
      <c r="E127" s="280">
        <v>1427980.143340288</v>
      </c>
      <c r="F127" s="275">
        <f t="shared" si="14"/>
        <v>20467715.387877464</v>
      </c>
      <c r="G127" s="279">
        <v>28005491.003491517</v>
      </c>
      <c r="H127" s="276">
        <v>2923585.120000001</v>
      </c>
      <c r="I127" s="275">
        <v>1881142.9412618636</v>
      </c>
      <c r="J127" s="88">
        <f t="shared" si="15"/>
        <v>347370369.68071491</v>
      </c>
      <c r="K127" s="274">
        <f t="shared" si="16"/>
        <v>-188910466.88928509</v>
      </c>
    </row>
    <row r="128" spans="1:11" s="248" customFormat="1" x14ac:dyDescent="0.2">
      <c r="A128" s="65">
        <f t="shared" si="13"/>
        <v>88</v>
      </c>
      <c r="B128" s="130" t="s">
        <v>14</v>
      </c>
      <c r="C128" s="262">
        <v>2013</v>
      </c>
      <c r="D128" s="279">
        <v>14132083.360041723</v>
      </c>
      <c r="E128" s="280">
        <v>1059906.2520031291</v>
      </c>
      <c r="F128" s="275">
        <f t="shared" si="14"/>
        <v>15191989.612044852</v>
      </c>
      <c r="G128" s="276">
        <v>100761031.31720944</v>
      </c>
      <c r="H128" s="276">
        <v>70959856.350000083</v>
      </c>
      <c r="I128" s="275">
        <v>2235088.1225407016</v>
      </c>
      <c r="J128" s="88">
        <f t="shared" si="15"/>
        <v>259566239.85300964</v>
      </c>
      <c r="K128" s="274">
        <f t="shared" si="16"/>
        <v>-276714596.71699035</v>
      </c>
    </row>
    <row r="129" spans="1:11" s="248" customFormat="1" x14ac:dyDescent="0.2">
      <c r="A129" s="65">
        <f t="shared" si="13"/>
        <v>89</v>
      </c>
      <c r="B129" s="118" t="s">
        <v>15</v>
      </c>
      <c r="C129" s="262">
        <v>2013</v>
      </c>
      <c r="D129" s="276">
        <v>10188206.31113429</v>
      </c>
      <c r="E129" s="280">
        <v>764115.4733350717</v>
      </c>
      <c r="F129" s="275">
        <f t="shared" si="14"/>
        <v>10952321.784469362</v>
      </c>
      <c r="G129" s="279">
        <v>22006624.1504835</v>
      </c>
      <c r="H129" s="271">
        <v>14747271.009999998</v>
      </c>
      <c r="I129" s="280">
        <v>544451.48553626263</v>
      </c>
      <c r="J129" s="88">
        <f t="shared" si="15"/>
        <v>247967486.00145924</v>
      </c>
      <c r="K129" s="274">
        <f t="shared" si="16"/>
        <v>-288313350.56854075</v>
      </c>
    </row>
    <row r="130" spans="1:11" s="248" customFormat="1" x14ac:dyDescent="0.2">
      <c r="A130" s="65">
        <f t="shared" si="13"/>
        <v>90</v>
      </c>
      <c r="B130" s="118" t="s">
        <v>16</v>
      </c>
      <c r="C130" s="262">
        <v>2013</v>
      </c>
      <c r="D130" s="279">
        <v>9239039.8116050828</v>
      </c>
      <c r="E130" s="280">
        <v>692927.98587038124</v>
      </c>
      <c r="F130" s="275">
        <f t="shared" si="14"/>
        <v>9931967.7974754646</v>
      </c>
      <c r="G130" s="276">
        <v>223675297.66832137</v>
      </c>
      <c r="H130" s="276">
        <v>166140840.16000038</v>
      </c>
      <c r="I130" s="275">
        <v>4315084.3131240737</v>
      </c>
      <c r="J130" s="88">
        <f t="shared" si="15"/>
        <v>29909071.817489251</v>
      </c>
      <c r="K130" s="274">
        <f t="shared" si="16"/>
        <v>-506371764.75251073</v>
      </c>
    </row>
    <row r="131" spans="1:11" s="248" customFormat="1" x14ac:dyDescent="0.2">
      <c r="A131" s="65">
        <f t="shared" si="13"/>
        <v>91</v>
      </c>
      <c r="B131" s="130" t="s">
        <v>18</v>
      </c>
      <c r="C131" s="262">
        <v>2013</v>
      </c>
      <c r="D131" s="279">
        <v>6327344.8587038144</v>
      </c>
      <c r="E131" s="275">
        <v>474550.86440278607</v>
      </c>
      <c r="F131" s="275">
        <f t="shared" si="14"/>
        <v>6801895.7231066003</v>
      </c>
      <c r="G131" s="279">
        <v>5209157.1067510527</v>
      </c>
      <c r="H131" s="276">
        <v>0</v>
      </c>
      <c r="I131" s="275">
        <v>390686.78300632891</v>
      </c>
      <c r="J131" s="88">
        <f t="shared" si="15"/>
        <v>31111123.650838468</v>
      </c>
      <c r="K131" s="274">
        <f t="shared" si="16"/>
        <v>-505169712.9191615</v>
      </c>
    </row>
    <row r="132" spans="1:11" s="248" customFormat="1" x14ac:dyDescent="0.2">
      <c r="A132" s="65">
        <f t="shared" si="13"/>
        <v>92</v>
      </c>
      <c r="B132" s="130" t="s">
        <v>17</v>
      </c>
      <c r="C132" s="262">
        <v>2013</v>
      </c>
      <c r="D132" s="279">
        <v>5429949.9058025433</v>
      </c>
      <c r="E132" s="275">
        <v>407246.24293519073</v>
      </c>
      <c r="F132" s="275">
        <f t="shared" si="14"/>
        <v>5837196.1487377342</v>
      </c>
      <c r="G132" s="276">
        <v>4853691.4045007005</v>
      </c>
      <c r="H132" s="276">
        <v>0</v>
      </c>
      <c r="I132" s="275">
        <v>364026.85533755255</v>
      </c>
      <c r="J132" s="88">
        <f t="shared" si="15"/>
        <v>31730601.539737947</v>
      </c>
      <c r="K132" s="274">
        <f t="shared" si="16"/>
        <v>-504550235.03026205</v>
      </c>
    </row>
    <row r="133" spans="1:11" s="248" customFormat="1" ht="13.5" thickBot="1" x14ac:dyDescent="0.25">
      <c r="A133" s="65">
        <f t="shared" si="13"/>
        <v>93</v>
      </c>
      <c r="B133" s="130" t="s">
        <v>9</v>
      </c>
      <c r="C133" s="262">
        <v>2013</v>
      </c>
      <c r="D133" s="277">
        <v>34128000</v>
      </c>
      <c r="E133" s="275">
        <v>2559600</v>
      </c>
      <c r="F133" s="278">
        <f t="shared" si="14"/>
        <v>36687600</v>
      </c>
      <c r="G133" s="277">
        <v>64766583.703943022</v>
      </c>
      <c r="H133" s="276">
        <v>12545612.559999991</v>
      </c>
      <c r="I133" s="275">
        <v>3916572.8357957266</v>
      </c>
      <c r="J133" s="88">
        <f t="shared" si="15"/>
        <v>-264955.00000080839</v>
      </c>
      <c r="K133" s="274">
        <f t="shared" si="16"/>
        <v>-536545791.57000083</v>
      </c>
    </row>
    <row r="134" spans="1:11" s="248" customFormat="1" x14ac:dyDescent="0.2">
      <c r="A134" s="65">
        <f t="shared" si="13"/>
        <v>94</v>
      </c>
      <c r="B134" s="130" t="s">
        <v>10</v>
      </c>
      <c r="C134" s="262">
        <v>2014</v>
      </c>
      <c r="D134" s="261">
        <v>7228199.9999999991</v>
      </c>
      <c r="E134" s="88">
        <v>542114.99999999988</v>
      </c>
      <c r="F134" s="88">
        <f t="shared" si="14"/>
        <v>7770314.9999999991</v>
      </c>
      <c r="G134" s="261">
        <v>7228199.9999999991</v>
      </c>
      <c r="H134" s="261">
        <v>0</v>
      </c>
      <c r="I134" s="88">
        <v>542114.99999999988</v>
      </c>
      <c r="J134" s="88">
        <f t="shared" si="15"/>
        <v>-264955.00000080827</v>
      </c>
      <c r="K134" s="274">
        <f t="shared" si="16"/>
        <v>-536545791.57000083</v>
      </c>
    </row>
    <row r="135" spans="1:11" s="248" customFormat="1" x14ac:dyDescent="0.2">
      <c r="A135" s="65">
        <f t="shared" si="13"/>
        <v>95</v>
      </c>
      <c r="B135" s="118" t="s">
        <v>11</v>
      </c>
      <c r="C135" s="262">
        <v>2014</v>
      </c>
      <c r="D135" s="261">
        <v>3068200</v>
      </c>
      <c r="E135" s="88">
        <v>230115</v>
      </c>
      <c r="F135" s="88">
        <f t="shared" si="14"/>
        <v>3298315</v>
      </c>
      <c r="G135" s="261">
        <v>3068200</v>
      </c>
      <c r="H135" s="261">
        <v>0</v>
      </c>
      <c r="I135" s="88">
        <v>230115</v>
      </c>
      <c r="J135" s="88">
        <f t="shared" si="15"/>
        <v>-264955.00000080839</v>
      </c>
      <c r="K135" s="274">
        <f t="shared" si="16"/>
        <v>-536545791.57000083</v>
      </c>
    </row>
    <row r="136" spans="1:11" s="248" customFormat="1" x14ac:dyDescent="0.2">
      <c r="A136" s="65">
        <f t="shared" si="13"/>
        <v>96</v>
      </c>
      <c r="B136" s="118" t="s">
        <v>21</v>
      </c>
      <c r="C136" s="262">
        <v>2014</v>
      </c>
      <c r="D136" s="261">
        <v>3068200</v>
      </c>
      <c r="E136" s="88">
        <v>230115</v>
      </c>
      <c r="F136" s="88">
        <f t="shared" si="14"/>
        <v>3298315</v>
      </c>
      <c r="G136" s="261">
        <v>3068200</v>
      </c>
      <c r="H136" s="261">
        <v>0</v>
      </c>
      <c r="I136" s="88">
        <v>230115</v>
      </c>
      <c r="J136" s="88">
        <f t="shared" si="15"/>
        <v>-264955.00000080839</v>
      </c>
      <c r="K136" s="274">
        <f t="shared" si="16"/>
        <v>-536545791.57000083</v>
      </c>
    </row>
    <row r="137" spans="1:11" s="248" customFormat="1" x14ac:dyDescent="0.2">
      <c r="A137" s="65">
        <f t="shared" si="13"/>
        <v>97</v>
      </c>
      <c r="B137" s="130" t="s">
        <v>12</v>
      </c>
      <c r="C137" s="262">
        <v>2014</v>
      </c>
      <c r="D137" s="261">
        <v>3062800</v>
      </c>
      <c r="E137" s="88">
        <v>229710</v>
      </c>
      <c r="F137" s="88">
        <f t="shared" si="14"/>
        <v>3292510</v>
      </c>
      <c r="G137" s="261">
        <v>3062800</v>
      </c>
      <c r="H137" s="261">
        <v>0</v>
      </c>
      <c r="I137" s="88">
        <v>229710</v>
      </c>
      <c r="J137" s="88">
        <f t="shared" si="15"/>
        <v>-264955.00000080839</v>
      </c>
      <c r="K137" s="274">
        <f t="shared" si="16"/>
        <v>-536545791.57000083</v>
      </c>
    </row>
    <row r="138" spans="1:11" s="248" customFormat="1" x14ac:dyDescent="0.2">
      <c r="A138" s="65">
        <f t="shared" si="13"/>
        <v>98</v>
      </c>
      <c r="B138" s="118" t="s">
        <v>13</v>
      </c>
      <c r="C138" s="262">
        <v>2014</v>
      </c>
      <c r="D138" s="261">
        <v>2007800</v>
      </c>
      <c r="E138" s="88">
        <v>150585</v>
      </c>
      <c r="F138" s="88">
        <f t="shared" si="14"/>
        <v>2158385</v>
      </c>
      <c r="G138" s="261">
        <v>2007800</v>
      </c>
      <c r="H138" s="261">
        <v>0</v>
      </c>
      <c r="I138" s="88">
        <v>150585</v>
      </c>
      <c r="J138" s="88">
        <f t="shared" si="15"/>
        <v>-264955.00000080839</v>
      </c>
      <c r="K138" s="274">
        <f t="shared" si="16"/>
        <v>-536545791.57000083</v>
      </c>
    </row>
    <row r="139" spans="1:11" s="248" customFormat="1" x14ac:dyDescent="0.2">
      <c r="A139" s="65">
        <f t="shared" si="13"/>
        <v>99</v>
      </c>
      <c r="B139" s="118" t="s">
        <v>28</v>
      </c>
      <c r="C139" s="262">
        <v>2014</v>
      </c>
      <c r="D139" s="261">
        <v>2005800</v>
      </c>
      <c r="E139" s="88">
        <v>150435</v>
      </c>
      <c r="F139" s="88">
        <f t="shared" si="14"/>
        <v>2156235</v>
      </c>
      <c r="G139" s="261">
        <v>2005800</v>
      </c>
      <c r="H139" s="261">
        <v>0</v>
      </c>
      <c r="I139" s="88">
        <v>150435</v>
      </c>
      <c r="J139" s="88">
        <f t="shared" si="15"/>
        <v>-264955.00000080839</v>
      </c>
      <c r="K139" s="274">
        <f t="shared" si="16"/>
        <v>-536545791.57000083</v>
      </c>
    </row>
    <row r="140" spans="1:11" s="248" customFormat="1" x14ac:dyDescent="0.2">
      <c r="A140" s="65">
        <f t="shared" si="13"/>
        <v>100</v>
      </c>
      <c r="B140" s="130" t="s">
        <v>14</v>
      </c>
      <c r="C140" s="262">
        <v>2014</v>
      </c>
      <c r="D140" s="261">
        <v>412000</v>
      </c>
      <c r="E140" s="88">
        <v>30900</v>
      </c>
      <c r="F140" s="88">
        <f t="shared" si="14"/>
        <v>442900</v>
      </c>
      <c r="G140" s="261">
        <v>412000</v>
      </c>
      <c r="H140" s="261">
        <v>0</v>
      </c>
      <c r="I140" s="88">
        <v>30900</v>
      </c>
      <c r="J140" s="88">
        <f t="shared" si="15"/>
        <v>-264955.00000080839</v>
      </c>
      <c r="K140" s="274">
        <f t="shared" si="16"/>
        <v>-536545791.57000083</v>
      </c>
    </row>
    <row r="141" spans="1:11" s="248" customFormat="1" x14ac:dyDescent="0.2">
      <c r="A141" s="65">
        <f t="shared" si="13"/>
        <v>101</v>
      </c>
      <c r="B141" s="118" t="s">
        <v>15</v>
      </c>
      <c r="C141" s="262">
        <v>2014</v>
      </c>
      <c r="D141" s="261">
        <v>412000</v>
      </c>
      <c r="E141" s="88">
        <v>30900</v>
      </c>
      <c r="F141" s="88">
        <f t="shared" si="14"/>
        <v>442900</v>
      </c>
      <c r="G141" s="261">
        <v>412000</v>
      </c>
      <c r="H141" s="261">
        <v>0</v>
      </c>
      <c r="I141" s="88">
        <v>30900</v>
      </c>
      <c r="J141" s="88">
        <f t="shared" si="15"/>
        <v>-264955.00000080839</v>
      </c>
      <c r="K141" s="274">
        <f t="shared" si="16"/>
        <v>-536545791.57000083</v>
      </c>
    </row>
    <row r="142" spans="1:11" s="248" customFormat="1" x14ac:dyDescent="0.2">
      <c r="A142" s="65">
        <f t="shared" si="13"/>
        <v>102</v>
      </c>
      <c r="B142" s="118" t="s">
        <v>16</v>
      </c>
      <c r="C142" s="262">
        <v>2014</v>
      </c>
      <c r="D142" s="261">
        <v>412000</v>
      </c>
      <c r="E142" s="88">
        <v>30900</v>
      </c>
      <c r="F142" s="88">
        <f t="shared" si="14"/>
        <v>442900</v>
      </c>
      <c r="G142" s="261">
        <v>412000</v>
      </c>
      <c r="H142" s="261">
        <v>0</v>
      </c>
      <c r="I142" s="88">
        <v>30900</v>
      </c>
      <c r="J142" s="88">
        <f t="shared" si="15"/>
        <v>-264955.00000080839</v>
      </c>
      <c r="K142" s="274">
        <f t="shared" si="16"/>
        <v>-536545791.57000083</v>
      </c>
    </row>
    <row r="143" spans="1:11" s="248" customFormat="1" x14ac:dyDescent="0.2">
      <c r="A143" s="65">
        <f t="shared" si="13"/>
        <v>103</v>
      </c>
      <c r="B143" s="118" t="s">
        <v>18</v>
      </c>
      <c r="C143" s="262">
        <v>2014</v>
      </c>
      <c r="D143" s="261">
        <v>412000</v>
      </c>
      <c r="E143" s="88">
        <v>30900</v>
      </c>
      <c r="F143" s="88">
        <f t="shared" si="14"/>
        <v>442900</v>
      </c>
      <c r="G143" s="261">
        <v>412000</v>
      </c>
      <c r="H143" s="261">
        <v>0</v>
      </c>
      <c r="I143" s="88">
        <v>30900</v>
      </c>
      <c r="J143" s="88">
        <f t="shared" si="15"/>
        <v>-264955.00000080839</v>
      </c>
      <c r="K143" s="274">
        <f t="shared" si="16"/>
        <v>-536545791.57000083</v>
      </c>
    </row>
    <row r="144" spans="1:11" s="248" customFormat="1" x14ac:dyDescent="0.2">
      <c r="A144" s="65">
        <f t="shared" si="13"/>
        <v>104</v>
      </c>
      <c r="B144" s="118" t="s">
        <v>17</v>
      </c>
      <c r="C144" s="262">
        <v>2014</v>
      </c>
      <c r="D144" s="261">
        <v>412000</v>
      </c>
      <c r="E144" s="88">
        <v>30900</v>
      </c>
      <c r="F144" s="88">
        <f t="shared" si="14"/>
        <v>442900</v>
      </c>
      <c r="G144" s="261">
        <v>412000</v>
      </c>
      <c r="H144" s="261">
        <v>0</v>
      </c>
      <c r="I144" s="88">
        <v>30900</v>
      </c>
      <c r="J144" s="88">
        <f t="shared" si="15"/>
        <v>-264955.00000080839</v>
      </c>
      <c r="K144" s="274">
        <f t="shared" si="16"/>
        <v>-536545791.57000083</v>
      </c>
    </row>
    <row r="145" spans="1:11" s="248" customFormat="1" x14ac:dyDescent="0.2">
      <c r="A145" s="65">
        <f t="shared" si="13"/>
        <v>105</v>
      </c>
      <c r="B145" s="118" t="s">
        <v>9</v>
      </c>
      <c r="C145" s="262">
        <v>2014</v>
      </c>
      <c r="D145" s="261">
        <v>412000</v>
      </c>
      <c r="E145" s="88">
        <v>30900</v>
      </c>
      <c r="F145" s="88">
        <f t="shared" si="14"/>
        <v>442900</v>
      </c>
      <c r="G145" s="261">
        <v>412000</v>
      </c>
      <c r="H145" s="261">
        <v>0</v>
      </c>
      <c r="I145" s="88">
        <v>30900</v>
      </c>
      <c r="J145" s="88">
        <f t="shared" si="15"/>
        <v>-264955.00000080839</v>
      </c>
      <c r="K145" s="273">
        <f t="shared" si="16"/>
        <v>-536545791.57000083</v>
      </c>
    </row>
    <row r="146" spans="1:11" s="248" customFormat="1" x14ac:dyDescent="0.2">
      <c r="A146" s="65">
        <f t="shared" si="13"/>
        <v>106</v>
      </c>
      <c r="B146"/>
      <c r="C146" s="259" t="s">
        <v>343</v>
      </c>
      <c r="D146"/>
      <c r="E146"/>
      <c r="F146"/>
      <c r="G146"/>
      <c r="H146"/>
      <c r="I146"/>
      <c r="J146"/>
      <c r="K146" s="272">
        <f>AVERAGE(K133:K145)</f>
        <v>-536545791.57000071</v>
      </c>
    </row>
    <row r="147" spans="1:11" s="248" customFormat="1" x14ac:dyDescent="0.2">
      <c r="A147" s="65"/>
      <c r="B147"/>
      <c r="C147" s="259"/>
      <c r="D147"/>
      <c r="E147"/>
      <c r="F147"/>
      <c r="G147"/>
      <c r="H147"/>
      <c r="I147"/>
      <c r="J147"/>
      <c r="K147" s="258"/>
    </row>
    <row r="148" spans="1:11" s="248" customFormat="1" x14ac:dyDescent="0.2">
      <c r="B148" s="269" t="s">
        <v>368</v>
      </c>
      <c r="D148" s="548" t="s">
        <v>367</v>
      </c>
      <c r="E148" s="548"/>
    </row>
    <row r="149" spans="1:11" s="248" customFormat="1" x14ac:dyDescent="0.2">
      <c r="D149" s="265"/>
      <c r="E149" s="265"/>
      <c r="F149" s="265"/>
      <c r="G149" s="60" t="str">
        <f>G51</f>
        <v>Unloaded</v>
      </c>
      <c r="H149" s="265"/>
      <c r="I149" s="265"/>
    </row>
    <row r="150" spans="1:11" s="248" customFormat="1" x14ac:dyDescent="0.2">
      <c r="A150" s="255"/>
      <c r="B150" s="255"/>
      <c r="C150" s="255"/>
      <c r="D150" s="255" t="str">
        <f>D$52</f>
        <v>Forecast</v>
      </c>
      <c r="E150" s="255" t="str">
        <f>E$52</f>
        <v>Corporate</v>
      </c>
      <c r="F150" s="255" t="str">
        <f>F$52</f>
        <v xml:space="preserve">Total </v>
      </c>
      <c r="G150" s="60" t="str">
        <f>G52</f>
        <v>Total</v>
      </c>
      <c r="H150" s="255" t="str">
        <f>H$52</f>
        <v>Prior Period</v>
      </c>
      <c r="I150" s="255" t="str">
        <f>I$52</f>
        <v>Over Heads</v>
      </c>
      <c r="J150" s="255" t="str">
        <f>J$52</f>
        <v>Forecast</v>
      </c>
      <c r="K150" s="60" t="str">
        <f>K$52</f>
        <v>Forecast Period</v>
      </c>
    </row>
    <row r="151" spans="1:11" s="248" customFormat="1" x14ac:dyDescent="0.2">
      <c r="A151" s="102" t="s">
        <v>170</v>
      </c>
      <c r="B151" s="128" t="s">
        <v>19</v>
      </c>
      <c r="C151" s="128" t="s">
        <v>20</v>
      </c>
      <c r="D151" s="263" t="str">
        <f>D$53</f>
        <v>Expenditures</v>
      </c>
      <c r="E151" s="263" t="str">
        <f>E$53</f>
        <v>Overheads</v>
      </c>
      <c r="F151" s="263" t="str">
        <f>F$53</f>
        <v>CWIP Exp</v>
      </c>
      <c r="G151" s="64" t="str">
        <f>G53</f>
        <v>Plant Adds</v>
      </c>
      <c r="H151" s="263" t="str">
        <f>H$53</f>
        <v>CWIP Closed</v>
      </c>
      <c r="I151" s="263" t="str">
        <f>I$53</f>
        <v>Closed to PIS</v>
      </c>
      <c r="J151" s="263" t="str">
        <f>J$53</f>
        <v>Period CWIP</v>
      </c>
      <c r="K151" s="263" t="str">
        <f>K$53</f>
        <v>Incremental CWIP</v>
      </c>
    </row>
    <row r="152" spans="1:11" s="248" customFormat="1" x14ac:dyDescent="0.2">
      <c r="A152" s="65">
        <f>A146+1</f>
        <v>107</v>
      </c>
      <c r="B152" s="130" t="s">
        <v>9</v>
      </c>
      <c r="C152" s="262">
        <v>2012</v>
      </c>
      <c r="D152" s="252" t="s">
        <v>344</v>
      </c>
      <c r="E152" s="252" t="s">
        <v>344</v>
      </c>
      <c r="F152" s="252" t="s">
        <v>344</v>
      </c>
      <c r="G152" s="252" t="s">
        <v>344</v>
      </c>
      <c r="H152" s="252" t="s">
        <v>344</v>
      </c>
      <c r="I152" s="252" t="s">
        <v>344</v>
      </c>
      <c r="J152" s="88">
        <f>G25</f>
        <v>149796433.14000002</v>
      </c>
      <c r="K152" s="252" t="s">
        <v>344</v>
      </c>
    </row>
    <row r="153" spans="1:11" s="248" customFormat="1" x14ac:dyDescent="0.2">
      <c r="A153" s="65">
        <f t="shared" ref="A153:A177" si="17">A152+1</f>
        <v>108</v>
      </c>
      <c r="B153" s="130" t="s">
        <v>10</v>
      </c>
      <c r="C153" s="262">
        <v>2013</v>
      </c>
      <c r="D153" s="261">
        <v>16215000</v>
      </c>
      <c r="E153" s="88">
        <v>1216125</v>
      </c>
      <c r="F153" s="88">
        <f t="shared" ref="F153:F176" si="18">E153+D153</f>
        <v>17431125</v>
      </c>
      <c r="G153" s="261">
        <v>0</v>
      </c>
      <c r="H153" s="261">
        <v>0</v>
      </c>
      <c r="I153" s="88">
        <v>0</v>
      </c>
      <c r="J153" s="88">
        <f t="shared" ref="J153:J176" si="19">J152+F153-G153-I153</f>
        <v>167227558.14000002</v>
      </c>
      <c r="K153" s="88">
        <f t="shared" ref="K153:K176" si="20">J153-$J$152</f>
        <v>17431125</v>
      </c>
    </row>
    <row r="154" spans="1:11" s="248" customFormat="1" x14ac:dyDescent="0.2">
      <c r="A154" s="65">
        <f t="shared" si="17"/>
        <v>109</v>
      </c>
      <c r="B154" s="118" t="s">
        <v>11</v>
      </c>
      <c r="C154" s="262">
        <v>2013</v>
      </c>
      <c r="D154" s="261">
        <v>36204000</v>
      </c>
      <c r="E154" s="88">
        <v>2715300</v>
      </c>
      <c r="F154" s="88">
        <f t="shared" si="18"/>
        <v>38919300</v>
      </c>
      <c r="G154" s="261">
        <v>0</v>
      </c>
      <c r="H154" s="261">
        <v>0</v>
      </c>
      <c r="I154" s="88">
        <v>0</v>
      </c>
      <c r="J154" s="88">
        <f t="shared" si="19"/>
        <v>206146858.14000002</v>
      </c>
      <c r="K154" s="88">
        <f t="shared" si="20"/>
        <v>56350425</v>
      </c>
    </row>
    <row r="155" spans="1:11" s="248" customFormat="1" x14ac:dyDescent="0.2">
      <c r="A155" s="65">
        <f t="shared" si="17"/>
        <v>110</v>
      </c>
      <c r="B155" s="118" t="s">
        <v>21</v>
      </c>
      <c r="C155" s="262">
        <v>2013</v>
      </c>
      <c r="D155" s="261">
        <v>48427000</v>
      </c>
      <c r="E155" s="88">
        <v>3632025</v>
      </c>
      <c r="F155" s="88">
        <f t="shared" si="18"/>
        <v>52059025</v>
      </c>
      <c r="G155" s="261">
        <v>0</v>
      </c>
      <c r="H155" s="261">
        <v>0</v>
      </c>
      <c r="I155" s="88">
        <v>0</v>
      </c>
      <c r="J155" s="88">
        <f t="shared" si="19"/>
        <v>258205883.14000002</v>
      </c>
      <c r="K155" s="88">
        <f t="shared" si="20"/>
        <v>108409450</v>
      </c>
    </row>
    <row r="156" spans="1:11" s="248" customFormat="1" x14ac:dyDescent="0.2">
      <c r="A156" s="65">
        <f t="shared" si="17"/>
        <v>111</v>
      </c>
      <c r="B156" s="130" t="s">
        <v>12</v>
      </c>
      <c r="C156" s="262">
        <v>2013</v>
      </c>
      <c r="D156" s="261">
        <v>41182700.000000007</v>
      </c>
      <c r="E156" s="88">
        <v>3088702.5000000005</v>
      </c>
      <c r="F156" s="88">
        <f t="shared" si="18"/>
        <v>44271402.500000007</v>
      </c>
      <c r="G156" s="261">
        <v>0</v>
      </c>
      <c r="H156" s="261">
        <v>0</v>
      </c>
      <c r="I156" s="88">
        <v>0</v>
      </c>
      <c r="J156" s="88">
        <f t="shared" si="19"/>
        <v>302477285.64000005</v>
      </c>
      <c r="K156" s="88">
        <f t="shared" si="20"/>
        <v>152680852.50000003</v>
      </c>
    </row>
    <row r="157" spans="1:11" s="248" customFormat="1" x14ac:dyDescent="0.2">
      <c r="A157" s="65">
        <f t="shared" si="17"/>
        <v>112</v>
      </c>
      <c r="B157" s="118" t="s">
        <v>13</v>
      </c>
      <c r="C157" s="262">
        <v>2013</v>
      </c>
      <c r="D157" s="261">
        <v>9973900.0000000019</v>
      </c>
      <c r="E157" s="88">
        <v>748042.50000000012</v>
      </c>
      <c r="F157" s="88">
        <f t="shared" si="18"/>
        <v>10721942.500000002</v>
      </c>
      <c r="G157" s="271">
        <v>250563087.93999997</v>
      </c>
      <c r="H157" s="271">
        <v>115801087.93999998</v>
      </c>
      <c r="I157" s="67">
        <v>10107150</v>
      </c>
      <c r="J157" s="88">
        <f t="shared" si="19"/>
        <v>52528990.200000077</v>
      </c>
      <c r="K157" s="88">
        <f t="shared" si="20"/>
        <v>-97267442.939999938</v>
      </c>
    </row>
    <row r="158" spans="1:11" s="248" customFormat="1" x14ac:dyDescent="0.2">
      <c r="A158" s="65">
        <f t="shared" si="17"/>
        <v>113</v>
      </c>
      <c r="B158" s="118" t="s">
        <v>28</v>
      </c>
      <c r="C158" s="262">
        <v>2013</v>
      </c>
      <c r="D158" s="261">
        <v>6540400.0000000009</v>
      </c>
      <c r="E158" s="88">
        <v>490530.00000000006</v>
      </c>
      <c r="F158" s="88">
        <f t="shared" si="18"/>
        <v>7030930.0000000009</v>
      </c>
      <c r="G158" s="271">
        <v>45167044.490000032</v>
      </c>
      <c r="H158" s="271">
        <v>29167944.490000028</v>
      </c>
      <c r="I158" s="88">
        <v>1199932.5000000002</v>
      </c>
      <c r="J158" s="88">
        <f t="shared" si="19"/>
        <v>13192943.210000046</v>
      </c>
      <c r="K158" s="88">
        <f t="shared" si="20"/>
        <v>-136603489.92999998</v>
      </c>
    </row>
    <row r="159" spans="1:11" s="248" customFormat="1" x14ac:dyDescent="0.2">
      <c r="A159" s="65">
        <f t="shared" si="17"/>
        <v>114</v>
      </c>
      <c r="B159" s="130" t="s">
        <v>14</v>
      </c>
      <c r="C159" s="262">
        <v>2013</v>
      </c>
      <c r="D159" s="261">
        <v>2723899.9999999995</v>
      </c>
      <c r="E159" s="88">
        <v>204292.49999999997</v>
      </c>
      <c r="F159" s="67">
        <f t="shared" si="18"/>
        <v>2928192.4999999995</v>
      </c>
      <c r="G159" s="271">
        <v>15333957.870000001</v>
      </c>
      <c r="H159" s="271">
        <v>4828157.870000001</v>
      </c>
      <c r="I159" s="88">
        <v>787935</v>
      </c>
      <c r="J159" s="88">
        <f t="shared" si="19"/>
        <v>-757.15999995544553</v>
      </c>
      <c r="K159" s="88">
        <f t="shared" si="20"/>
        <v>-149797190.29999998</v>
      </c>
    </row>
    <row r="160" spans="1:11" s="248" customFormat="1" x14ac:dyDescent="0.2">
      <c r="A160" s="65">
        <f t="shared" si="17"/>
        <v>115</v>
      </c>
      <c r="B160" s="118" t="s">
        <v>15</v>
      </c>
      <c r="C160" s="262">
        <v>2013</v>
      </c>
      <c r="D160" s="261">
        <v>1808899.9999999998</v>
      </c>
      <c r="E160" s="88">
        <v>135667.49999999997</v>
      </c>
      <c r="F160" s="88">
        <f t="shared" si="18"/>
        <v>1944567.4999999998</v>
      </c>
      <c r="G160" s="261">
        <v>1808899.9999999998</v>
      </c>
      <c r="H160" s="261">
        <v>0</v>
      </c>
      <c r="I160" s="88">
        <v>135667.49999999997</v>
      </c>
      <c r="J160" s="88">
        <f t="shared" si="19"/>
        <v>-757.15999995541642</v>
      </c>
      <c r="K160" s="88">
        <f t="shared" si="20"/>
        <v>-149797190.29999998</v>
      </c>
    </row>
    <row r="161" spans="1:11" s="248" customFormat="1" x14ac:dyDescent="0.2">
      <c r="A161" s="65">
        <f t="shared" si="17"/>
        <v>116</v>
      </c>
      <c r="B161" s="118" t="s">
        <v>16</v>
      </c>
      <c r="C161" s="262">
        <v>2013</v>
      </c>
      <c r="D161" s="261">
        <v>1245899.9999999998</v>
      </c>
      <c r="E161" s="88">
        <v>93442.499999999985</v>
      </c>
      <c r="F161" s="88">
        <f t="shared" si="18"/>
        <v>1339342.4999999998</v>
      </c>
      <c r="G161" s="261">
        <v>1245899.9999999998</v>
      </c>
      <c r="H161" s="261">
        <v>0</v>
      </c>
      <c r="I161" s="88">
        <v>93442.499999999985</v>
      </c>
      <c r="J161" s="88">
        <f t="shared" si="19"/>
        <v>-757.15999995543098</v>
      </c>
      <c r="K161" s="88">
        <f t="shared" si="20"/>
        <v>-149797190.29999998</v>
      </c>
    </row>
    <row r="162" spans="1:11" s="248" customFormat="1" x14ac:dyDescent="0.2">
      <c r="A162" s="65">
        <f t="shared" si="17"/>
        <v>117</v>
      </c>
      <c r="B162" s="130" t="s">
        <v>18</v>
      </c>
      <c r="C162" s="262">
        <v>2013</v>
      </c>
      <c r="D162" s="261">
        <v>1147900</v>
      </c>
      <c r="E162" s="88">
        <v>86092.5</v>
      </c>
      <c r="F162" s="88">
        <f t="shared" si="18"/>
        <v>1233992.5</v>
      </c>
      <c r="G162" s="261">
        <v>1147900</v>
      </c>
      <c r="H162" s="261">
        <v>0</v>
      </c>
      <c r="I162" s="88">
        <v>86092.5</v>
      </c>
      <c r="J162" s="88">
        <f t="shared" si="19"/>
        <v>-757.15999995544553</v>
      </c>
      <c r="K162" s="88">
        <f t="shared" si="20"/>
        <v>-149797190.29999998</v>
      </c>
    </row>
    <row r="163" spans="1:11" s="248" customFormat="1" x14ac:dyDescent="0.2">
      <c r="A163" s="65">
        <f t="shared" si="17"/>
        <v>118</v>
      </c>
      <c r="B163" s="130" t="s">
        <v>17</v>
      </c>
      <c r="C163" s="262">
        <v>2013</v>
      </c>
      <c r="D163" s="261">
        <v>1097900</v>
      </c>
      <c r="E163" s="88">
        <v>82342.5</v>
      </c>
      <c r="F163" s="88">
        <f t="shared" si="18"/>
        <v>1180242.5</v>
      </c>
      <c r="G163" s="261">
        <v>1097900</v>
      </c>
      <c r="H163" s="261">
        <v>0</v>
      </c>
      <c r="I163" s="88">
        <v>82342.5</v>
      </c>
      <c r="J163" s="88">
        <f t="shared" si="19"/>
        <v>-757.15999995544553</v>
      </c>
      <c r="K163" s="88">
        <f t="shared" si="20"/>
        <v>-149797190.29999998</v>
      </c>
    </row>
    <row r="164" spans="1:11" s="248" customFormat="1" x14ac:dyDescent="0.2">
      <c r="A164" s="65">
        <f t="shared" si="17"/>
        <v>119</v>
      </c>
      <c r="B164" s="130" t="s">
        <v>9</v>
      </c>
      <c r="C164" s="262">
        <v>2013</v>
      </c>
      <c r="D164" s="261">
        <v>858900.00000000012</v>
      </c>
      <c r="E164" s="88">
        <v>64417.500000000007</v>
      </c>
      <c r="F164" s="88">
        <f t="shared" si="18"/>
        <v>923317.50000000012</v>
      </c>
      <c r="G164" s="261">
        <v>858900.00000000012</v>
      </c>
      <c r="H164" s="261">
        <v>0</v>
      </c>
      <c r="I164" s="88">
        <v>64417.500000000007</v>
      </c>
      <c r="J164" s="88">
        <f t="shared" si="19"/>
        <v>-757.1599999554528</v>
      </c>
      <c r="K164" s="88">
        <f t="shared" si="20"/>
        <v>-149797190.29999998</v>
      </c>
    </row>
    <row r="165" spans="1:11" s="248" customFormat="1" x14ac:dyDescent="0.2">
      <c r="A165" s="65">
        <f t="shared" si="17"/>
        <v>120</v>
      </c>
      <c r="B165" s="130" t="s">
        <v>10</v>
      </c>
      <c r="C165" s="262">
        <v>2014</v>
      </c>
      <c r="D165" s="261">
        <v>173000</v>
      </c>
      <c r="E165" s="88">
        <v>12975</v>
      </c>
      <c r="F165" s="88">
        <f t="shared" si="18"/>
        <v>185975</v>
      </c>
      <c r="G165" s="261">
        <v>173000</v>
      </c>
      <c r="H165" s="261">
        <v>0</v>
      </c>
      <c r="I165" s="88">
        <v>12975</v>
      </c>
      <c r="J165" s="88">
        <f t="shared" si="19"/>
        <v>-757.15999995544553</v>
      </c>
      <c r="K165" s="88">
        <f t="shared" si="20"/>
        <v>-149797190.29999998</v>
      </c>
    </row>
    <row r="166" spans="1:11" s="248" customFormat="1" x14ac:dyDescent="0.2">
      <c r="A166" s="65">
        <f t="shared" si="17"/>
        <v>121</v>
      </c>
      <c r="B166" s="118" t="s">
        <v>11</v>
      </c>
      <c r="C166" s="262">
        <v>2014</v>
      </c>
      <c r="D166" s="261">
        <v>163000</v>
      </c>
      <c r="E166" s="88">
        <v>12225</v>
      </c>
      <c r="F166" s="88">
        <f t="shared" si="18"/>
        <v>175225</v>
      </c>
      <c r="G166" s="261">
        <v>163000</v>
      </c>
      <c r="H166" s="261">
        <v>0</v>
      </c>
      <c r="I166" s="88">
        <v>12225</v>
      </c>
      <c r="J166" s="88">
        <f t="shared" si="19"/>
        <v>-757.15999995544553</v>
      </c>
      <c r="K166" s="88">
        <f t="shared" si="20"/>
        <v>-149797190.29999998</v>
      </c>
    </row>
    <row r="167" spans="1:11" s="248" customFormat="1" x14ac:dyDescent="0.2">
      <c r="A167" s="65">
        <f t="shared" si="17"/>
        <v>122</v>
      </c>
      <c r="B167" s="118" t="s">
        <v>21</v>
      </c>
      <c r="C167" s="262">
        <v>2014</v>
      </c>
      <c r="D167" s="261">
        <v>163000</v>
      </c>
      <c r="E167" s="88">
        <v>12225</v>
      </c>
      <c r="F167" s="88">
        <f t="shared" si="18"/>
        <v>175225</v>
      </c>
      <c r="G167" s="261">
        <v>163000</v>
      </c>
      <c r="H167" s="261">
        <v>0</v>
      </c>
      <c r="I167" s="88">
        <v>12225</v>
      </c>
      <c r="J167" s="88">
        <f t="shared" si="19"/>
        <v>-757.15999995544553</v>
      </c>
      <c r="K167" s="88">
        <f t="shared" si="20"/>
        <v>-149797190.29999998</v>
      </c>
    </row>
    <row r="168" spans="1:11" s="248" customFormat="1" x14ac:dyDescent="0.2">
      <c r="A168" s="65">
        <f t="shared" si="17"/>
        <v>123</v>
      </c>
      <c r="B168" s="130" t="s">
        <v>12</v>
      </c>
      <c r="C168" s="262">
        <v>2014</v>
      </c>
      <c r="D168" s="261">
        <v>163000</v>
      </c>
      <c r="E168" s="88">
        <v>12225</v>
      </c>
      <c r="F168" s="88">
        <f t="shared" si="18"/>
        <v>175225</v>
      </c>
      <c r="G168" s="261">
        <v>163000</v>
      </c>
      <c r="H168" s="261">
        <v>0</v>
      </c>
      <c r="I168" s="88">
        <v>12225</v>
      </c>
      <c r="J168" s="88">
        <f t="shared" si="19"/>
        <v>-757.15999995544553</v>
      </c>
      <c r="K168" s="88">
        <f t="shared" si="20"/>
        <v>-149797190.29999998</v>
      </c>
    </row>
    <row r="169" spans="1:11" s="248" customFormat="1" x14ac:dyDescent="0.2">
      <c r="A169" s="65">
        <f t="shared" si="17"/>
        <v>124</v>
      </c>
      <c r="B169" s="118" t="s">
        <v>13</v>
      </c>
      <c r="C169" s="262">
        <v>2014</v>
      </c>
      <c r="D169" s="261">
        <v>163000</v>
      </c>
      <c r="E169" s="88">
        <v>12225</v>
      </c>
      <c r="F169" s="88">
        <f t="shared" si="18"/>
        <v>175225</v>
      </c>
      <c r="G169" s="261">
        <v>163000</v>
      </c>
      <c r="H169" s="261">
        <v>0</v>
      </c>
      <c r="I169" s="88">
        <v>12225</v>
      </c>
      <c r="J169" s="88">
        <f t="shared" si="19"/>
        <v>-757.15999995544553</v>
      </c>
      <c r="K169" s="88">
        <f t="shared" si="20"/>
        <v>-149797190.29999998</v>
      </c>
    </row>
    <row r="170" spans="1:11" s="248" customFormat="1" x14ac:dyDescent="0.2">
      <c r="A170" s="65">
        <f t="shared" si="17"/>
        <v>125</v>
      </c>
      <c r="B170" s="118" t="s">
        <v>28</v>
      </c>
      <c r="C170" s="262">
        <v>2014</v>
      </c>
      <c r="D170" s="261">
        <v>163000</v>
      </c>
      <c r="E170" s="88">
        <v>12225</v>
      </c>
      <c r="F170" s="88">
        <f t="shared" si="18"/>
        <v>175225</v>
      </c>
      <c r="G170" s="261">
        <v>163000</v>
      </c>
      <c r="H170" s="261">
        <v>0</v>
      </c>
      <c r="I170" s="88">
        <v>12225</v>
      </c>
      <c r="J170" s="88">
        <f t="shared" si="19"/>
        <v>-757.15999995544553</v>
      </c>
      <c r="K170" s="88">
        <f t="shared" si="20"/>
        <v>-149797190.29999998</v>
      </c>
    </row>
    <row r="171" spans="1:11" s="248" customFormat="1" x14ac:dyDescent="0.2">
      <c r="A171" s="65">
        <f t="shared" si="17"/>
        <v>126</v>
      </c>
      <c r="B171" s="130" t="s">
        <v>14</v>
      </c>
      <c r="C171" s="262">
        <v>2014</v>
      </c>
      <c r="D171" s="261">
        <v>162000</v>
      </c>
      <c r="E171" s="88">
        <v>12150</v>
      </c>
      <c r="F171" s="88">
        <f t="shared" si="18"/>
        <v>174150</v>
      </c>
      <c r="G171" s="261">
        <v>162000</v>
      </c>
      <c r="H171" s="261">
        <v>0</v>
      </c>
      <c r="I171" s="88">
        <v>12150</v>
      </c>
      <c r="J171" s="88">
        <f t="shared" si="19"/>
        <v>-757.15999995544553</v>
      </c>
      <c r="K171" s="88">
        <f t="shared" si="20"/>
        <v>-149797190.29999998</v>
      </c>
    </row>
    <row r="172" spans="1:11" s="248" customFormat="1" x14ac:dyDescent="0.2">
      <c r="A172" s="65">
        <f t="shared" si="17"/>
        <v>127</v>
      </c>
      <c r="B172" s="118" t="s">
        <v>15</v>
      </c>
      <c r="C172" s="262">
        <v>2014</v>
      </c>
      <c r="D172" s="261">
        <v>162000</v>
      </c>
      <c r="E172" s="88">
        <v>12150</v>
      </c>
      <c r="F172" s="88">
        <f t="shared" si="18"/>
        <v>174150</v>
      </c>
      <c r="G172" s="261">
        <v>162000</v>
      </c>
      <c r="H172" s="261">
        <v>0</v>
      </c>
      <c r="I172" s="88">
        <v>12150</v>
      </c>
      <c r="J172" s="88">
        <f t="shared" si="19"/>
        <v>-757.15999995544553</v>
      </c>
      <c r="K172" s="88">
        <f t="shared" si="20"/>
        <v>-149797190.29999998</v>
      </c>
    </row>
    <row r="173" spans="1:11" s="248" customFormat="1" x14ac:dyDescent="0.2">
      <c r="A173" s="65">
        <f t="shared" si="17"/>
        <v>128</v>
      </c>
      <c r="B173" s="118" t="s">
        <v>16</v>
      </c>
      <c r="C173" s="262">
        <v>2014</v>
      </c>
      <c r="D173" s="261">
        <v>162000</v>
      </c>
      <c r="E173" s="88">
        <v>12150</v>
      </c>
      <c r="F173" s="88">
        <f t="shared" si="18"/>
        <v>174150</v>
      </c>
      <c r="G173" s="261">
        <v>162000</v>
      </c>
      <c r="H173" s="261">
        <v>0</v>
      </c>
      <c r="I173" s="88">
        <v>12150</v>
      </c>
      <c r="J173" s="88">
        <f t="shared" si="19"/>
        <v>-757.15999995544553</v>
      </c>
      <c r="K173" s="88">
        <f t="shared" si="20"/>
        <v>-149797190.29999998</v>
      </c>
    </row>
    <row r="174" spans="1:11" s="248" customFormat="1" x14ac:dyDescent="0.2">
      <c r="A174" s="65">
        <f t="shared" si="17"/>
        <v>129</v>
      </c>
      <c r="B174" s="118" t="s">
        <v>18</v>
      </c>
      <c r="C174" s="262">
        <v>2014</v>
      </c>
      <c r="D174" s="261">
        <v>159000</v>
      </c>
      <c r="E174" s="88">
        <v>11925</v>
      </c>
      <c r="F174" s="88">
        <f t="shared" si="18"/>
        <v>170925</v>
      </c>
      <c r="G174" s="261">
        <v>159000</v>
      </c>
      <c r="H174" s="261">
        <v>0</v>
      </c>
      <c r="I174" s="88">
        <v>11925</v>
      </c>
      <c r="J174" s="88">
        <f t="shared" si="19"/>
        <v>-757.15999995544553</v>
      </c>
      <c r="K174" s="88">
        <f t="shared" si="20"/>
        <v>-149797190.29999998</v>
      </c>
    </row>
    <row r="175" spans="1:11" s="248" customFormat="1" x14ac:dyDescent="0.2">
      <c r="A175" s="65">
        <f t="shared" si="17"/>
        <v>130</v>
      </c>
      <c r="B175" s="118" t="s">
        <v>17</v>
      </c>
      <c r="C175" s="262">
        <v>2014</v>
      </c>
      <c r="D175" s="261">
        <v>317000</v>
      </c>
      <c r="E175" s="88">
        <v>23775</v>
      </c>
      <c r="F175" s="88">
        <f t="shared" si="18"/>
        <v>340775</v>
      </c>
      <c r="G175" s="261">
        <v>317000</v>
      </c>
      <c r="H175" s="261">
        <v>0</v>
      </c>
      <c r="I175" s="88">
        <v>23775</v>
      </c>
      <c r="J175" s="88">
        <f t="shared" si="19"/>
        <v>-757.15999995544553</v>
      </c>
      <c r="K175" s="88">
        <f t="shared" si="20"/>
        <v>-149797190.29999998</v>
      </c>
    </row>
    <row r="176" spans="1:11" s="248" customFormat="1" x14ac:dyDescent="0.2">
      <c r="A176" s="65">
        <f t="shared" si="17"/>
        <v>131</v>
      </c>
      <c r="B176" s="118" t="s">
        <v>9</v>
      </c>
      <c r="C176" s="262">
        <v>2014</v>
      </c>
      <c r="D176" s="261">
        <v>317000</v>
      </c>
      <c r="E176" s="88">
        <v>23775</v>
      </c>
      <c r="F176" s="88">
        <f t="shared" si="18"/>
        <v>340775</v>
      </c>
      <c r="G176" s="261">
        <v>317000</v>
      </c>
      <c r="H176" s="261">
        <v>0</v>
      </c>
      <c r="I176" s="88">
        <v>23775</v>
      </c>
      <c r="J176" s="88">
        <f t="shared" si="19"/>
        <v>-757.15999995544553</v>
      </c>
      <c r="K176" s="260">
        <f t="shared" si="20"/>
        <v>-149797190.29999998</v>
      </c>
    </row>
    <row r="177" spans="1:11" s="248" customFormat="1" x14ac:dyDescent="0.2">
      <c r="A177" s="65">
        <f t="shared" si="17"/>
        <v>132</v>
      </c>
      <c r="B177"/>
      <c r="C177" s="259" t="s">
        <v>343</v>
      </c>
      <c r="D177"/>
      <c r="E177"/>
      <c r="F177"/>
      <c r="G177"/>
      <c r="H177"/>
      <c r="I177"/>
      <c r="J177" s="57"/>
      <c r="K177" s="270">
        <f>AVERAGE(K164:K176)</f>
        <v>-149797190.29999998</v>
      </c>
    </row>
    <row r="178" spans="1:11" s="248" customFormat="1" x14ac:dyDescent="0.2">
      <c r="A178" s="65"/>
      <c r="B178"/>
      <c r="C178" s="259"/>
      <c r="D178"/>
      <c r="E178"/>
      <c r="F178"/>
      <c r="G178"/>
      <c r="H178"/>
      <c r="I178"/>
      <c r="J178"/>
      <c r="K178" s="258"/>
    </row>
    <row r="179" spans="1:11" s="248" customFormat="1" x14ac:dyDescent="0.2">
      <c r="B179" s="269" t="s">
        <v>366</v>
      </c>
      <c r="D179" s="548" t="s">
        <v>365</v>
      </c>
      <c r="E179" s="548"/>
    </row>
    <row r="180" spans="1:11" s="248" customFormat="1" x14ac:dyDescent="0.2">
      <c r="A180" s="263"/>
      <c r="B180" s="263"/>
      <c r="C180" s="263"/>
      <c r="D180" s="263" t="s">
        <v>167</v>
      </c>
      <c r="E180" s="263" t="s">
        <v>168</v>
      </c>
      <c r="F180" s="263" t="s">
        <v>184</v>
      </c>
      <c r="G180" s="263" t="s">
        <v>185</v>
      </c>
      <c r="H180" s="263" t="s">
        <v>186</v>
      </c>
      <c r="I180" s="263" t="s">
        <v>187</v>
      </c>
      <c r="J180" s="263" t="s">
        <v>188</v>
      </c>
      <c r="K180" s="263" t="s">
        <v>350</v>
      </c>
    </row>
    <row r="181" spans="1:11" s="248" customFormat="1" ht="38.25" x14ac:dyDescent="0.2">
      <c r="D181" s="265"/>
      <c r="E181" s="264" t="s">
        <v>349</v>
      </c>
      <c r="F181" s="252" t="s">
        <v>348</v>
      </c>
      <c r="G181" s="266"/>
      <c r="H181" s="265"/>
      <c r="I181" s="264" t="s">
        <v>347</v>
      </c>
      <c r="J181" s="264" t="s">
        <v>346</v>
      </c>
      <c r="K181" s="264" t="s">
        <v>345</v>
      </c>
    </row>
    <row r="182" spans="1:11" s="248" customFormat="1" x14ac:dyDescent="0.2">
      <c r="D182" s="265"/>
      <c r="E182" s="264"/>
      <c r="F182" s="252"/>
      <c r="G182" s="127" t="str">
        <f>G51</f>
        <v>Unloaded</v>
      </c>
      <c r="H182" s="265"/>
      <c r="I182" s="264"/>
      <c r="J182" s="264"/>
      <c r="K182" s="264"/>
    </row>
    <row r="183" spans="1:11" s="248" customFormat="1" x14ac:dyDescent="0.2">
      <c r="A183" s="255"/>
      <c r="B183" s="255"/>
      <c r="C183" s="255"/>
      <c r="D183" s="255" t="str">
        <f>D$52</f>
        <v>Forecast</v>
      </c>
      <c r="E183" s="255" t="str">
        <f>E$52</f>
        <v>Corporate</v>
      </c>
      <c r="F183" s="255" t="str">
        <f>F$52</f>
        <v xml:space="preserve">Total </v>
      </c>
      <c r="G183" s="127" t="str">
        <f>G52</f>
        <v>Total</v>
      </c>
      <c r="H183" s="255" t="str">
        <f>H$52</f>
        <v>Prior Period</v>
      </c>
      <c r="I183" s="255" t="str">
        <f>I$52</f>
        <v>Over Heads</v>
      </c>
      <c r="J183" s="255" t="str">
        <f>J$52</f>
        <v>Forecast</v>
      </c>
      <c r="K183" s="60" t="str">
        <f>K$52</f>
        <v>Forecast Period</v>
      </c>
    </row>
    <row r="184" spans="1:11" s="248" customFormat="1" x14ac:dyDescent="0.2">
      <c r="A184" s="102" t="s">
        <v>170</v>
      </c>
      <c r="B184" s="128" t="s">
        <v>19</v>
      </c>
      <c r="C184" s="128" t="s">
        <v>20</v>
      </c>
      <c r="D184" s="263" t="str">
        <f>D$53</f>
        <v>Expenditures</v>
      </c>
      <c r="E184" s="263" t="str">
        <f>E$53</f>
        <v>Overheads</v>
      </c>
      <c r="F184" s="263" t="str">
        <f>F$53</f>
        <v>CWIP Exp</v>
      </c>
      <c r="G184" s="129" t="str">
        <f>G53</f>
        <v>Plant Adds</v>
      </c>
      <c r="H184" s="263" t="str">
        <f>H$53</f>
        <v>CWIP Closed</v>
      </c>
      <c r="I184" s="263" t="str">
        <f>I$53</f>
        <v>Closed to PIS</v>
      </c>
      <c r="J184" s="263" t="str">
        <f>J$53</f>
        <v>Period CWIP</v>
      </c>
      <c r="K184" s="263" t="str">
        <f>K$53</f>
        <v>Incremental CWIP</v>
      </c>
    </row>
    <row r="185" spans="1:11" s="248" customFormat="1" x14ac:dyDescent="0.2">
      <c r="A185" s="65">
        <f>A177+1</f>
        <v>133</v>
      </c>
      <c r="B185" s="130" t="s">
        <v>9</v>
      </c>
      <c r="C185" s="262">
        <v>2012</v>
      </c>
      <c r="D185" s="252" t="s">
        <v>344</v>
      </c>
      <c r="E185" s="252" t="s">
        <v>344</v>
      </c>
      <c r="F185" s="252" t="s">
        <v>344</v>
      </c>
      <c r="G185" s="252" t="s">
        <v>344</v>
      </c>
      <c r="H185" s="252" t="s">
        <v>344</v>
      </c>
      <c r="I185" s="252" t="s">
        <v>344</v>
      </c>
      <c r="J185" s="88">
        <f>H25</f>
        <v>-69617.340000000084</v>
      </c>
      <c r="K185" s="252" t="s">
        <v>344</v>
      </c>
    </row>
    <row r="186" spans="1:11" s="248" customFormat="1" x14ac:dyDescent="0.2">
      <c r="A186" s="65">
        <f t="shared" ref="A186:A210" si="21">A185+1</f>
        <v>134</v>
      </c>
      <c r="B186" s="130" t="s">
        <v>10</v>
      </c>
      <c r="C186" s="262">
        <v>2013</v>
      </c>
      <c r="D186" s="261">
        <v>0</v>
      </c>
      <c r="E186" s="88">
        <v>0</v>
      </c>
      <c r="F186" s="88">
        <f t="shared" ref="F186:F209" si="22">E186+D186</f>
        <v>0</v>
      </c>
      <c r="G186" s="261">
        <v>0</v>
      </c>
      <c r="H186" s="261">
        <v>0</v>
      </c>
      <c r="I186" s="88">
        <v>0</v>
      </c>
      <c r="J186" s="88">
        <f t="shared" ref="J186:J209" si="23">J185+F186-G186-I186</f>
        <v>-69617.340000000084</v>
      </c>
      <c r="K186" s="88">
        <f t="shared" ref="K186:K209" si="24">J186-$J$185</f>
        <v>0</v>
      </c>
    </row>
    <row r="187" spans="1:11" s="248" customFormat="1" x14ac:dyDescent="0.2">
      <c r="A187" s="65">
        <f t="shared" si="21"/>
        <v>135</v>
      </c>
      <c r="B187" s="118" t="s">
        <v>11</v>
      </c>
      <c r="C187" s="262">
        <v>2013</v>
      </c>
      <c r="D187" s="261">
        <v>0</v>
      </c>
      <c r="E187" s="88">
        <v>0</v>
      </c>
      <c r="F187" s="88">
        <f t="shared" si="22"/>
        <v>0</v>
      </c>
      <c r="G187" s="261">
        <v>0</v>
      </c>
      <c r="H187" s="261">
        <v>0</v>
      </c>
      <c r="I187" s="88">
        <v>0</v>
      </c>
      <c r="J187" s="88">
        <f t="shared" si="23"/>
        <v>-69617.340000000084</v>
      </c>
      <c r="K187" s="88">
        <f t="shared" si="24"/>
        <v>0</v>
      </c>
    </row>
    <row r="188" spans="1:11" s="248" customFormat="1" x14ac:dyDescent="0.2">
      <c r="A188" s="65">
        <f t="shared" si="21"/>
        <v>136</v>
      </c>
      <c r="B188" s="118" t="s">
        <v>21</v>
      </c>
      <c r="C188" s="262">
        <v>2013</v>
      </c>
      <c r="D188" s="261">
        <v>0</v>
      </c>
      <c r="E188" s="88">
        <v>0</v>
      </c>
      <c r="F188" s="88">
        <f t="shared" si="22"/>
        <v>0</v>
      </c>
      <c r="G188" s="261">
        <v>0</v>
      </c>
      <c r="H188" s="261">
        <v>0</v>
      </c>
      <c r="I188" s="88">
        <v>0</v>
      </c>
      <c r="J188" s="88">
        <f t="shared" si="23"/>
        <v>-69617.340000000084</v>
      </c>
      <c r="K188" s="88">
        <f t="shared" si="24"/>
        <v>0</v>
      </c>
    </row>
    <row r="189" spans="1:11" s="248" customFormat="1" x14ac:dyDescent="0.2">
      <c r="A189" s="65">
        <f t="shared" si="21"/>
        <v>137</v>
      </c>
      <c r="B189" s="130" t="s">
        <v>12</v>
      </c>
      <c r="C189" s="262">
        <v>2013</v>
      </c>
      <c r="D189" s="261">
        <v>0</v>
      </c>
      <c r="E189" s="88">
        <v>0</v>
      </c>
      <c r="F189" s="88">
        <f t="shared" si="22"/>
        <v>0</v>
      </c>
      <c r="G189" s="261">
        <v>0</v>
      </c>
      <c r="H189" s="261">
        <v>0</v>
      </c>
      <c r="I189" s="88">
        <v>0</v>
      </c>
      <c r="J189" s="88">
        <f t="shared" si="23"/>
        <v>-69617.340000000084</v>
      </c>
      <c r="K189" s="88">
        <f t="shared" si="24"/>
        <v>0</v>
      </c>
    </row>
    <row r="190" spans="1:11" s="248" customFormat="1" x14ac:dyDescent="0.2">
      <c r="A190" s="65">
        <f t="shared" si="21"/>
        <v>138</v>
      </c>
      <c r="B190" s="118" t="s">
        <v>13</v>
      </c>
      <c r="C190" s="262">
        <v>2013</v>
      </c>
      <c r="D190" s="261">
        <v>0</v>
      </c>
      <c r="E190" s="88">
        <v>0</v>
      </c>
      <c r="F190" s="88">
        <f t="shared" si="22"/>
        <v>0</v>
      </c>
      <c r="G190" s="261">
        <v>0</v>
      </c>
      <c r="H190" s="261">
        <v>0</v>
      </c>
      <c r="I190" s="88">
        <v>0</v>
      </c>
      <c r="J190" s="88">
        <f t="shared" si="23"/>
        <v>-69617.340000000084</v>
      </c>
      <c r="K190" s="88">
        <f t="shared" si="24"/>
        <v>0</v>
      </c>
    </row>
    <row r="191" spans="1:11" s="248" customFormat="1" x14ac:dyDescent="0.2">
      <c r="A191" s="65">
        <f t="shared" si="21"/>
        <v>139</v>
      </c>
      <c r="B191" s="118" t="s">
        <v>28</v>
      </c>
      <c r="C191" s="262">
        <v>2013</v>
      </c>
      <c r="D191" s="261">
        <v>0</v>
      </c>
      <c r="E191" s="88">
        <v>0</v>
      </c>
      <c r="F191" s="88">
        <f t="shared" si="22"/>
        <v>0</v>
      </c>
      <c r="G191" s="261">
        <v>0</v>
      </c>
      <c r="H191" s="261">
        <v>0</v>
      </c>
      <c r="I191" s="88">
        <v>0</v>
      </c>
      <c r="J191" s="88">
        <f t="shared" si="23"/>
        <v>-69617.340000000084</v>
      </c>
      <c r="K191" s="88">
        <f t="shared" si="24"/>
        <v>0</v>
      </c>
    </row>
    <row r="192" spans="1:11" s="248" customFormat="1" x14ac:dyDescent="0.2">
      <c r="A192" s="65">
        <f t="shared" si="21"/>
        <v>140</v>
      </c>
      <c r="B192" s="130" t="s">
        <v>14</v>
      </c>
      <c r="C192" s="262">
        <v>2013</v>
      </c>
      <c r="D192" s="261">
        <v>0</v>
      </c>
      <c r="E192" s="88">
        <v>0</v>
      </c>
      <c r="F192" s="88">
        <f t="shared" si="22"/>
        <v>0</v>
      </c>
      <c r="G192" s="261">
        <v>0</v>
      </c>
      <c r="H192" s="261">
        <v>0</v>
      </c>
      <c r="I192" s="88">
        <v>0</v>
      </c>
      <c r="J192" s="88">
        <f t="shared" si="23"/>
        <v>-69617.340000000084</v>
      </c>
      <c r="K192" s="88">
        <f t="shared" si="24"/>
        <v>0</v>
      </c>
    </row>
    <row r="193" spans="1:11" s="248" customFormat="1" x14ac:dyDescent="0.2">
      <c r="A193" s="65">
        <f t="shared" si="21"/>
        <v>141</v>
      </c>
      <c r="B193" s="118" t="s">
        <v>15</v>
      </c>
      <c r="C193" s="262">
        <v>2013</v>
      </c>
      <c r="D193" s="261">
        <v>0</v>
      </c>
      <c r="E193" s="88">
        <v>0</v>
      </c>
      <c r="F193" s="88">
        <f t="shared" si="22"/>
        <v>0</v>
      </c>
      <c r="G193" s="261">
        <v>0</v>
      </c>
      <c r="H193" s="261">
        <v>0</v>
      </c>
      <c r="I193" s="88">
        <v>0</v>
      </c>
      <c r="J193" s="88">
        <f t="shared" si="23"/>
        <v>-69617.340000000084</v>
      </c>
      <c r="K193" s="88">
        <f t="shared" si="24"/>
        <v>0</v>
      </c>
    </row>
    <row r="194" spans="1:11" s="248" customFormat="1" x14ac:dyDescent="0.2">
      <c r="A194" s="65">
        <f t="shared" si="21"/>
        <v>142</v>
      </c>
      <c r="B194" s="118" t="s">
        <v>16</v>
      </c>
      <c r="C194" s="262">
        <v>2013</v>
      </c>
      <c r="D194" s="261">
        <v>0</v>
      </c>
      <c r="E194" s="88">
        <v>0</v>
      </c>
      <c r="F194" s="88">
        <f t="shared" si="22"/>
        <v>0</v>
      </c>
      <c r="G194" s="261">
        <v>0</v>
      </c>
      <c r="H194" s="261">
        <v>0</v>
      </c>
      <c r="I194" s="88">
        <v>0</v>
      </c>
      <c r="J194" s="88">
        <f t="shared" si="23"/>
        <v>-69617.340000000084</v>
      </c>
      <c r="K194" s="88">
        <f t="shared" si="24"/>
        <v>0</v>
      </c>
    </row>
    <row r="195" spans="1:11" s="248" customFormat="1" x14ac:dyDescent="0.2">
      <c r="A195" s="65">
        <f t="shared" si="21"/>
        <v>143</v>
      </c>
      <c r="B195" s="130" t="s">
        <v>18</v>
      </c>
      <c r="C195" s="262">
        <v>2013</v>
      </c>
      <c r="D195" s="261">
        <v>0</v>
      </c>
      <c r="E195" s="88">
        <v>0</v>
      </c>
      <c r="F195" s="88">
        <f t="shared" si="22"/>
        <v>0</v>
      </c>
      <c r="G195" s="261">
        <v>0</v>
      </c>
      <c r="H195" s="261">
        <v>0</v>
      </c>
      <c r="I195" s="88">
        <v>0</v>
      </c>
      <c r="J195" s="88">
        <f t="shared" si="23"/>
        <v>-69617.340000000084</v>
      </c>
      <c r="K195" s="88">
        <f t="shared" si="24"/>
        <v>0</v>
      </c>
    </row>
    <row r="196" spans="1:11" s="248" customFormat="1" x14ac:dyDescent="0.2">
      <c r="A196" s="65">
        <f t="shared" si="21"/>
        <v>144</v>
      </c>
      <c r="B196" s="130" t="s">
        <v>17</v>
      </c>
      <c r="C196" s="262">
        <v>2013</v>
      </c>
      <c r="D196" s="261">
        <v>0</v>
      </c>
      <c r="E196" s="88">
        <v>0</v>
      </c>
      <c r="F196" s="88">
        <f t="shared" si="22"/>
        <v>0</v>
      </c>
      <c r="G196" s="261">
        <v>0</v>
      </c>
      <c r="H196" s="261">
        <v>0</v>
      </c>
      <c r="I196" s="88">
        <v>0</v>
      </c>
      <c r="J196" s="88">
        <f t="shared" si="23"/>
        <v>-69617.340000000084</v>
      </c>
      <c r="K196" s="88">
        <f t="shared" si="24"/>
        <v>0</v>
      </c>
    </row>
    <row r="197" spans="1:11" s="248" customFormat="1" x14ac:dyDescent="0.2">
      <c r="A197" s="65">
        <f t="shared" si="21"/>
        <v>145</v>
      </c>
      <c r="B197" s="130" t="s">
        <v>9</v>
      </c>
      <c r="C197" s="262">
        <v>2013</v>
      </c>
      <c r="D197" s="261">
        <v>0</v>
      </c>
      <c r="E197" s="88">
        <v>0</v>
      </c>
      <c r="F197" s="88">
        <f t="shared" si="22"/>
        <v>0</v>
      </c>
      <c r="G197" s="261">
        <v>0</v>
      </c>
      <c r="H197" s="261">
        <v>0</v>
      </c>
      <c r="I197" s="88">
        <v>0</v>
      </c>
      <c r="J197" s="88">
        <f t="shared" si="23"/>
        <v>-69617.340000000084</v>
      </c>
      <c r="K197" s="88">
        <f t="shared" si="24"/>
        <v>0</v>
      </c>
    </row>
    <row r="198" spans="1:11" s="248" customFormat="1" x14ac:dyDescent="0.2">
      <c r="A198" s="65">
        <f t="shared" si="21"/>
        <v>146</v>
      </c>
      <c r="B198" s="130" t="s">
        <v>10</v>
      </c>
      <c r="C198" s="262">
        <v>2014</v>
      </c>
      <c r="D198" s="261">
        <v>0</v>
      </c>
      <c r="E198" s="88">
        <v>0</v>
      </c>
      <c r="F198" s="88">
        <f t="shared" si="22"/>
        <v>0</v>
      </c>
      <c r="G198" s="261">
        <v>0</v>
      </c>
      <c r="H198" s="261">
        <v>0</v>
      </c>
      <c r="I198" s="88">
        <v>0</v>
      </c>
      <c r="J198" s="88">
        <f t="shared" si="23"/>
        <v>-69617.340000000084</v>
      </c>
      <c r="K198" s="88">
        <f t="shared" si="24"/>
        <v>0</v>
      </c>
    </row>
    <row r="199" spans="1:11" s="248" customFormat="1" x14ac:dyDescent="0.2">
      <c r="A199" s="65">
        <f t="shared" si="21"/>
        <v>147</v>
      </c>
      <c r="B199" s="118" t="s">
        <v>11</v>
      </c>
      <c r="C199" s="262">
        <v>2014</v>
      </c>
      <c r="D199" s="261">
        <v>0</v>
      </c>
      <c r="E199" s="88">
        <v>0</v>
      </c>
      <c r="F199" s="88">
        <f t="shared" si="22"/>
        <v>0</v>
      </c>
      <c r="G199" s="261">
        <v>0</v>
      </c>
      <c r="H199" s="261">
        <v>0</v>
      </c>
      <c r="I199" s="88">
        <v>0</v>
      </c>
      <c r="J199" s="88">
        <f t="shared" si="23"/>
        <v>-69617.340000000084</v>
      </c>
      <c r="K199" s="88">
        <f t="shared" si="24"/>
        <v>0</v>
      </c>
    </row>
    <row r="200" spans="1:11" s="248" customFormat="1" x14ac:dyDescent="0.2">
      <c r="A200" s="65">
        <f t="shared" si="21"/>
        <v>148</v>
      </c>
      <c r="B200" s="118" t="s">
        <v>21</v>
      </c>
      <c r="C200" s="262">
        <v>2014</v>
      </c>
      <c r="D200" s="261">
        <v>0</v>
      </c>
      <c r="E200" s="88">
        <v>0</v>
      </c>
      <c r="F200" s="88">
        <f t="shared" si="22"/>
        <v>0</v>
      </c>
      <c r="G200" s="261">
        <v>0</v>
      </c>
      <c r="H200" s="261">
        <v>0</v>
      </c>
      <c r="I200" s="88">
        <v>0</v>
      </c>
      <c r="J200" s="88">
        <f t="shared" si="23"/>
        <v>-69617.340000000084</v>
      </c>
      <c r="K200" s="88">
        <f t="shared" si="24"/>
        <v>0</v>
      </c>
    </row>
    <row r="201" spans="1:11" s="248" customFormat="1" x14ac:dyDescent="0.2">
      <c r="A201" s="65">
        <f t="shared" si="21"/>
        <v>149</v>
      </c>
      <c r="B201" s="130" t="s">
        <v>12</v>
      </c>
      <c r="C201" s="262">
        <v>2014</v>
      </c>
      <c r="D201" s="261">
        <v>0</v>
      </c>
      <c r="E201" s="88">
        <v>0</v>
      </c>
      <c r="F201" s="88">
        <f t="shared" si="22"/>
        <v>0</v>
      </c>
      <c r="G201" s="261">
        <v>0</v>
      </c>
      <c r="H201" s="261">
        <v>0</v>
      </c>
      <c r="I201" s="88">
        <v>0</v>
      </c>
      <c r="J201" s="88">
        <f t="shared" si="23"/>
        <v>-69617.340000000084</v>
      </c>
      <c r="K201" s="88">
        <f t="shared" si="24"/>
        <v>0</v>
      </c>
    </row>
    <row r="202" spans="1:11" s="248" customFormat="1" x14ac:dyDescent="0.2">
      <c r="A202" s="65">
        <f t="shared" si="21"/>
        <v>150</v>
      </c>
      <c r="B202" s="118" t="s">
        <v>13</v>
      </c>
      <c r="C202" s="262">
        <v>2014</v>
      </c>
      <c r="D202" s="261">
        <v>0</v>
      </c>
      <c r="E202" s="88">
        <v>0</v>
      </c>
      <c r="F202" s="88">
        <f t="shared" si="22"/>
        <v>0</v>
      </c>
      <c r="G202" s="261">
        <v>0</v>
      </c>
      <c r="H202" s="261">
        <v>0</v>
      </c>
      <c r="I202" s="88">
        <v>0</v>
      </c>
      <c r="J202" s="88">
        <f t="shared" si="23"/>
        <v>-69617.340000000084</v>
      </c>
      <c r="K202" s="88">
        <f t="shared" si="24"/>
        <v>0</v>
      </c>
    </row>
    <row r="203" spans="1:11" s="248" customFormat="1" x14ac:dyDescent="0.2">
      <c r="A203" s="65">
        <f t="shared" si="21"/>
        <v>151</v>
      </c>
      <c r="B203" s="118" t="s">
        <v>28</v>
      </c>
      <c r="C203" s="262">
        <v>2014</v>
      </c>
      <c r="D203" s="261">
        <v>0</v>
      </c>
      <c r="E203" s="88">
        <v>0</v>
      </c>
      <c r="F203" s="88">
        <f t="shared" si="22"/>
        <v>0</v>
      </c>
      <c r="G203" s="261">
        <v>0</v>
      </c>
      <c r="H203" s="261">
        <v>0</v>
      </c>
      <c r="I203" s="88">
        <v>0</v>
      </c>
      <c r="J203" s="88">
        <f t="shared" si="23"/>
        <v>-69617.340000000084</v>
      </c>
      <c r="K203" s="88">
        <f t="shared" si="24"/>
        <v>0</v>
      </c>
    </row>
    <row r="204" spans="1:11" s="248" customFormat="1" x14ac:dyDescent="0.2">
      <c r="A204" s="65">
        <f t="shared" si="21"/>
        <v>152</v>
      </c>
      <c r="B204" s="130" t="s">
        <v>14</v>
      </c>
      <c r="C204" s="262">
        <v>2014</v>
      </c>
      <c r="D204" s="261">
        <v>0</v>
      </c>
      <c r="E204" s="88">
        <v>0</v>
      </c>
      <c r="F204" s="88">
        <f t="shared" si="22"/>
        <v>0</v>
      </c>
      <c r="G204" s="261">
        <v>0</v>
      </c>
      <c r="H204" s="261">
        <v>0</v>
      </c>
      <c r="I204" s="88">
        <v>0</v>
      </c>
      <c r="J204" s="88">
        <f t="shared" si="23"/>
        <v>-69617.340000000084</v>
      </c>
      <c r="K204" s="88">
        <f t="shared" si="24"/>
        <v>0</v>
      </c>
    </row>
    <row r="205" spans="1:11" s="248" customFormat="1" x14ac:dyDescent="0.2">
      <c r="A205" s="65">
        <f t="shared" si="21"/>
        <v>153</v>
      </c>
      <c r="B205" s="118" t="s">
        <v>15</v>
      </c>
      <c r="C205" s="262">
        <v>2014</v>
      </c>
      <c r="D205" s="261">
        <v>0</v>
      </c>
      <c r="E205" s="88">
        <v>0</v>
      </c>
      <c r="F205" s="88">
        <f t="shared" si="22"/>
        <v>0</v>
      </c>
      <c r="G205" s="261">
        <v>0</v>
      </c>
      <c r="H205" s="261">
        <v>0</v>
      </c>
      <c r="I205" s="88">
        <v>0</v>
      </c>
      <c r="J205" s="88">
        <f t="shared" si="23"/>
        <v>-69617.340000000084</v>
      </c>
      <c r="K205" s="88">
        <f t="shared" si="24"/>
        <v>0</v>
      </c>
    </row>
    <row r="206" spans="1:11" s="248" customFormat="1" x14ac:dyDescent="0.2">
      <c r="A206" s="65">
        <f t="shared" si="21"/>
        <v>154</v>
      </c>
      <c r="B206" s="118" t="s">
        <v>16</v>
      </c>
      <c r="C206" s="262">
        <v>2014</v>
      </c>
      <c r="D206" s="261">
        <v>0</v>
      </c>
      <c r="E206" s="88">
        <v>0</v>
      </c>
      <c r="F206" s="88">
        <f t="shared" si="22"/>
        <v>0</v>
      </c>
      <c r="G206" s="261">
        <v>0</v>
      </c>
      <c r="H206" s="261">
        <v>0</v>
      </c>
      <c r="I206" s="88">
        <v>0</v>
      </c>
      <c r="J206" s="88">
        <f t="shared" si="23"/>
        <v>-69617.340000000084</v>
      </c>
      <c r="K206" s="88">
        <f t="shared" si="24"/>
        <v>0</v>
      </c>
    </row>
    <row r="207" spans="1:11" s="248" customFormat="1" x14ac:dyDescent="0.2">
      <c r="A207" s="65">
        <f t="shared" si="21"/>
        <v>155</v>
      </c>
      <c r="B207" s="118" t="s">
        <v>18</v>
      </c>
      <c r="C207" s="262">
        <v>2014</v>
      </c>
      <c r="D207" s="261">
        <v>0</v>
      </c>
      <c r="E207" s="88">
        <v>0</v>
      </c>
      <c r="F207" s="88">
        <f t="shared" si="22"/>
        <v>0</v>
      </c>
      <c r="G207" s="261">
        <v>0</v>
      </c>
      <c r="H207" s="261">
        <v>0</v>
      </c>
      <c r="I207" s="88">
        <v>0</v>
      </c>
      <c r="J207" s="88">
        <f t="shared" si="23"/>
        <v>-69617.340000000084</v>
      </c>
      <c r="K207" s="88">
        <f t="shared" si="24"/>
        <v>0</v>
      </c>
    </row>
    <row r="208" spans="1:11" s="248" customFormat="1" x14ac:dyDescent="0.2">
      <c r="A208" s="65">
        <f t="shared" si="21"/>
        <v>156</v>
      </c>
      <c r="B208" s="118" t="s">
        <v>17</v>
      </c>
      <c r="C208" s="262">
        <v>2014</v>
      </c>
      <c r="D208" s="261">
        <v>0</v>
      </c>
      <c r="E208" s="88">
        <v>0</v>
      </c>
      <c r="F208" s="88">
        <f t="shared" si="22"/>
        <v>0</v>
      </c>
      <c r="G208" s="261">
        <v>0</v>
      </c>
      <c r="H208" s="261">
        <v>0</v>
      </c>
      <c r="I208" s="88">
        <v>0</v>
      </c>
      <c r="J208" s="88">
        <f t="shared" si="23"/>
        <v>-69617.340000000084</v>
      </c>
      <c r="K208" s="88">
        <f t="shared" si="24"/>
        <v>0</v>
      </c>
    </row>
    <row r="209" spans="1:11" s="248" customFormat="1" x14ac:dyDescent="0.2">
      <c r="A209" s="65">
        <f t="shared" si="21"/>
        <v>157</v>
      </c>
      <c r="B209" s="118" t="s">
        <v>9</v>
      </c>
      <c r="C209" s="262">
        <v>2014</v>
      </c>
      <c r="D209" s="261">
        <v>0</v>
      </c>
      <c r="E209" s="88">
        <v>0</v>
      </c>
      <c r="F209" s="88">
        <f t="shared" si="22"/>
        <v>0</v>
      </c>
      <c r="G209" s="261">
        <v>0</v>
      </c>
      <c r="H209" s="261">
        <v>0</v>
      </c>
      <c r="I209" s="88">
        <v>0</v>
      </c>
      <c r="J209" s="88">
        <f t="shared" si="23"/>
        <v>-69617.340000000084</v>
      </c>
      <c r="K209" s="260">
        <f t="shared" si="24"/>
        <v>0</v>
      </c>
    </row>
    <row r="210" spans="1:11" s="248" customFormat="1" x14ac:dyDescent="0.2">
      <c r="A210" s="65">
        <f t="shared" si="21"/>
        <v>158</v>
      </c>
      <c r="B210"/>
      <c r="C210" s="259" t="s">
        <v>343</v>
      </c>
      <c r="D210"/>
      <c r="E210"/>
      <c r="F210"/>
      <c r="G210"/>
      <c r="H210"/>
      <c r="I210"/>
      <c r="J210"/>
      <c r="K210" s="258">
        <f>AVERAGE(K197:K209)</f>
        <v>0</v>
      </c>
    </row>
    <row r="211" spans="1:11" s="248" customFormat="1" x14ac:dyDescent="0.2">
      <c r="A211" s="65"/>
      <c r="B211"/>
      <c r="C211" s="259"/>
      <c r="D211"/>
      <c r="E211"/>
      <c r="F211"/>
      <c r="G211"/>
      <c r="H211"/>
      <c r="I211"/>
      <c r="J211"/>
      <c r="K211" s="258"/>
    </row>
    <row r="212" spans="1:11" s="248" customFormat="1" x14ac:dyDescent="0.2">
      <c r="B212" s="269" t="s">
        <v>364</v>
      </c>
      <c r="D212" s="548" t="s">
        <v>363</v>
      </c>
      <c r="E212" s="548"/>
    </row>
    <row r="213" spans="1:11" s="248" customFormat="1" x14ac:dyDescent="0.2">
      <c r="D213" s="265"/>
      <c r="E213" s="265"/>
      <c r="F213" s="265"/>
      <c r="G213" s="60" t="str">
        <f>G51</f>
        <v>Unloaded</v>
      </c>
      <c r="H213" s="265"/>
      <c r="I213" s="265"/>
    </row>
    <row r="214" spans="1:11" s="248" customFormat="1" x14ac:dyDescent="0.2">
      <c r="A214" s="255"/>
      <c r="B214" s="255"/>
      <c r="C214" s="255"/>
      <c r="D214" s="255" t="str">
        <f>D$52</f>
        <v>Forecast</v>
      </c>
      <c r="E214" s="255" t="str">
        <f>E$52</f>
        <v>Corporate</v>
      </c>
      <c r="F214" s="255" t="str">
        <f>F$52</f>
        <v xml:space="preserve">Total </v>
      </c>
      <c r="G214" s="60" t="str">
        <f>G52</f>
        <v>Total</v>
      </c>
      <c r="H214" s="255" t="str">
        <f>H$52</f>
        <v>Prior Period</v>
      </c>
      <c r="I214" s="255" t="str">
        <f>I$52</f>
        <v>Over Heads</v>
      </c>
      <c r="J214" s="255" t="str">
        <f>J$52</f>
        <v>Forecast</v>
      </c>
      <c r="K214" s="60" t="str">
        <f>K$52</f>
        <v>Forecast Period</v>
      </c>
    </row>
    <row r="215" spans="1:11" s="248" customFormat="1" x14ac:dyDescent="0.2">
      <c r="A215" s="102" t="s">
        <v>170</v>
      </c>
      <c r="B215" s="128" t="s">
        <v>19</v>
      </c>
      <c r="C215" s="128" t="s">
        <v>20</v>
      </c>
      <c r="D215" s="263" t="str">
        <f>D$53</f>
        <v>Expenditures</v>
      </c>
      <c r="E215" s="263" t="str">
        <f>E$53</f>
        <v>Overheads</v>
      </c>
      <c r="F215" s="263" t="str">
        <f>F$53</f>
        <v>CWIP Exp</v>
      </c>
      <c r="G215" s="64" t="str">
        <f>G53</f>
        <v>Plant Adds</v>
      </c>
      <c r="H215" s="263" t="str">
        <f>H$53</f>
        <v>CWIP Closed</v>
      </c>
      <c r="I215" s="263" t="str">
        <f>I$53</f>
        <v>Closed to PIS</v>
      </c>
      <c r="J215" s="263" t="str">
        <f>J$53</f>
        <v>Period CWIP</v>
      </c>
      <c r="K215" s="263" t="str">
        <f>K$53</f>
        <v>Incremental CWIP</v>
      </c>
    </row>
    <row r="216" spans="1:11" s="248" customFormat="1" x14ac:dyDescent="0.2">
      <c r="A216" s="65">
        <f>A210+1</f>
        <v>159</v>
      </c>
      <c r="B216" s="130" t="s">
        <v>9</v>
      </c>
      <c r="C216" s="262">
        <v>2012</v>
      </c>
      <c r="D216" s="252" t="s">
        <v>344</v>
      </c>
      <c r="E216" s="252" t="s">
        <v>344</v>
      </c>
      <c r="F216" s="252" t="s">
        <v>344</v>
      </c>
      <c r="G216" s="252" t="s">
        <v>344</v>
      </c>
      <c r="H216" s="252" t="s">
        <v>344</v>
      </c>
      <c r="I216" s="252" t="s">
        <v>344</v>
      </c>
      <c r="J216" s="88">
        <f>I25</f>
        <v>150902784.00999999</v>
      </c>
      <c r="K216" s="252" t="s">
        <v>344</v>
      </c>
    </row>
    <row r="217" spans="1:11" s="248" customFormat="1" x14ac:dyDescent="0.2">
      <c r="A217" s="65">
        <f t="shared" ref="A217:A241" si="25">A216+1</f>
        <v>160</v>
      </c>
      <c r="B217" s="130" t="s">
        <v>10</v>
      </c>
      <c r="C217" s="262">
        <v>2013</v>
      </c>
      <c r="D217" s="261">
        <v>5040893</v>
      </c>
      <c r="E217" s="88">
        <v>378066.97499999998</v>
      </c>
      <c r="F217" s="88">
        <f t="shared" ref="F217:F240" si="26">E217+D217</f>
        <v>5418959.9749999996</v>
      </c>
      <c r="G217" s="271">
        <v>0</v>
      </c>
      <c r="H217" s="271">
        <v>0</v>
      </c>
      <c r="I217" s="88">
        <v>0</v>
      </c>
      <c r="J217" s="88">
        <f t="shared" ref="J217:J240" si="27">J216+F217-G217-I217</f>
        <v>156321743.98499998</v>
      </c>
      <c r="K217" s="88">
        <f t="shared" ref="K217:K240" si="28">J217-$J$216</f>
        <v>5418959.974999994</v>
      </c>
    </row>
    <row r="218" spans="1:11" s="248" customFormat="1" x14ac:dyDescent="0.2">
      <c r="A218" s="65">
        <f t="shared" si="25"/>
        <v>161</v>
      </c>
      <c r="B218" s="118" t="s">
        <v>11</v>
      </c>
      <c r="C218" s="262">
        <v>2013</v>
      </c>
      <c r="D218" s="261">
        <v>14276571</v>
      </c>
      <c r="E218" s="88">
        <v>1070742.825</v>
      </c>
      <c r="F218" s="88">
        <f t="shared" si="26"/>
        <v>15347313.824999999</v>
      </c>
      <c r="G218" s="271">
        <v>0</v>
      </c>
      <c r="H218" s="271">
        <v>0</v>
      </c>
      <c r="I218" s="88">
        <v>0</v>
      </c>
      <c r="J218" s="88">
        <f t="shared" si="27"/>
        <v>171669057.80999997</v>
      </c>
      <c r="K218" s="88">
        <f t="shared" si="28"/>
        <v>20766273.799999982</v>
      </c>
    </row>
    <row r="219" spans="1:11" s="248" customFormat="1" x14ac:dyDescent="0.2">
      <c r="A219" s="65">
        <f t="shared" si="25"/>
        <v>162</v>
      </c>
      <c r="B219" s="118" t="s">
        <v>21</v>
      </c>
      <c r="C219" s="262">
        <v>2013</v>
      </c>
      <c r="D219" s="261">
        <v>15192399.000000002</v>
      </c>
      <c r="E219" s="88">
        <v>1139429.925</v>
      </c>
      <c r="F219" s="88">
        <f t="shared" si="26"/>
        <v>16331828.925000003</v>
      </c>
      <c r="G219" s="271">
        <v>0</v>
      </c>
      <c r="H219" s="271">
        <v>0</v>
      </c>
      <c r="I219" s="88">
        <v>0</v>
      </c>
      <c r="J219" s="88">
        <f t="shared" si="27"/>
        <v>188000886.73499998</v>
      </c>
      <c r="K219" s="88">
        <f t="shared" si="28"/>
        <v>37098102.724999994</v>
      </c>
    </row>
    <row r="220" spans="1:11" s="248" customFormat="1" x14ac:dyDescent="0.2">
      <c r="A220" s="65">
        <f t="shared" si="25"/>
        <v>163</v>
      </c>
      <c r="B220" s="130" t="s">
        <v>12</v>
      </c>
      <c r="C220" s="262">
        <v>2013</v>
      </c>
      <c r="D220" s="261">
        <v>9570445.0000000019</v>
      </c>
      <c r="E220" s="88">
        <v>717783.37500000012</v>
      </c>
      <c r="F220" s="88">
        <f t="shared" si="26"/>
        <v>10288228.375000002</v>
      </c>
      <c r="G220" s="271">
        <v>0</v>
      </c>
      <c r="H220" s="271">
        <v>0</v>
      </c>
      <c r="I220" s="88">
        <v>0</v>
      </c>
      <c r="J220" s="88">
        <f t="shared" si="27"/>
        <v>198289115.10999998</v>
      </c>
      <c r="K220" s="88">
        <f t="shared" si="28"/>
        <v>47386331.099999994</v>
      </c>
    </row>
    <row r="221" spans="1:11" s="248" customFormat="1" x14ac:dyDescent="0.2">
      <c r="A221" s="65">
        <f t="shared" si="25"/>
        <v>164</v>
      </c>
      <c r="B221" s="118" t="s">
        <v>13</v>
      </c>
      <c r="C221" s="262">
        <v>2013</v>
      </c>
      <c r="D221" s="261">
        <v>9570446.0000000019</v>
      </c>
      <c r="E221" s="88">
        <v>717783.45000000007</v>
      </c>
      <c r="F221" s="88">
        <f t="shared" si="26"/>
        <v>10288229.450000001</v>
      </c>
      <c r="G221" s="271">
        <v>0</v>
      </c>
      <c r="H221" s="271">
        <v>0</v>
      </c>
      <c r="I221" s="88">
        <v>0</v>
      </c>
      <c r="J221" s="88">
        <f t="shared" si="27"/>
        <v>208577344.55999997</v>
      </c>
      <c r="K221" s="88">
        <f t="shared" si="28"/>
        <v>57674560.549999982</v>
      </c>
    </row>
    <row r="222" spans="1:11" s="248" customFormat="1" x14ac:dyDescent="0.2">
      <c r="A222" s="65">
        <f t="shared" si="25"/>
        <v>165</v>
      </c>
      <c r="B222" s="118" t="s">
        <v>28</v>
      </c>
      <c r="C222" s="262">
        <v>2013</v>
      </c>
      <c r="D222" s="261">
        <v>2953126</v>
      </c>
      <c r="E222" s="88">
        <v>221484.44999999998</v>
      </c>
      <c r="F222" s="67">
        <f t="shared" si="26"/>
        <v>3174610.45</v>
      </c>
      <c r="G222" s="271">
        <v>203054615.08000001</v>
      </c>
      <c r="H222" s="271">
        <v>150642661.07999998</v>
      </c>
      <c r="I222" s="67">
        <v>3930896.5500000021</v>
      </c>
      <c r="J222" s="88">
        <f t="shared" si="27"/>
        <v>4766443.3799999449</v>
      </c>
      <c r="K222" s="88">
        <f t="shared" si="28"/>
        <v>-146136340.63000005</v>
      </c>
    </row>
    <row r="223" spans="1:11" s="248" customFormat="1" x14ac:dyDescent="0.2">
      <c r="A223" s="65">
        <f t="shared" si="25"/>
        <v>166</v>
      </c>
      <c r="B223" s="130" t="s">
        <v>14</v>
      </c>
      <c r="C223" s="262">
        <v>2013</v>
      </c>
      <c r="D223" s="261">
        <v>8144536</v>
      </c>
      <c r="E223" s="88">
        <v>610840.19999999995</v>
      </c>
      <c r="F223" s="88">
        <f t="shared" si="26"/>
        <v>8755376.1999999993</v>
      </c>
      <c r="G223" s="271">
        <v>7163127</v>
      </c>
      <c r="H223" s="271">
        <v>0</v>
      </c>
      <c r="I223" s="88">
        <v>537234.52500000002</v>
      </c>
      <c r="J223" s="88">
        <f t="shared" si="27"/>
        <v>5821458.0549999438</v>
      </c>
      <c r="K223" s="88">
        <f t="shared" si="28"/>
        <v>-145081325.95500004</v>
      </c>
    </row>
    <row r="224" spans="1:11" s="248" customFormat="1" x14ac:dyDescent="0.2">
      <c r="A224" s="65">
        <f t="shared" si="25"/>
        <v>167</v>
      </c>
      <c r="B224" s="118" t="s">
        <v>15</v>
      </c>
      <c r="C224" s="262">
        <v>2013</v>
      </c>
      <c r="D224" s="261">
        <v>2554964</v>
      </c>
      <c r="E224" s="88">
        <v>191622.3</v>
      </c>
      <c r="F224" s="88">
        <f t="shared" si="26"/>
        <v>2746586.3</v>
      </c>
      <c r="G224" s="271">
        <v>1573555</v>
      </c>
      <c r="H224" s="271">
        <v>0</v>
      </c>
      <c r="I224" s="88">
        <v>118016.625</v>
      </c>
      <c r="J224" s="88">
        <f t="shared" si="27"/>
        <v>6876472.7299999446</v>
      </c>
      <c r="K224" s="88">
        <f t="shared" si="28"/>
        <v>-144026311.28000003</v>
      </c>
    </row>
    <row r="225" spans="1:11" s="248" customFormat="1" x14ac:dyDescent="0.2">
      <c r="A225" s="65">
        <f t="shared" si="25"/>
        <v>168</v>
      </c>
      <c r="B225" s="118" t="s">
        <v>16</v>
      </c>
      <c r="C225" s="262">
        <v>2013</v>
      </c>
      <c r="D225" s="261">
        <v>3231786</v>
      </c>
      <c r="E225" s="88">
        <v>242383.94999999998</v>
      </c>
      <c r="F225" s="88">
        <f t="shared" si="26"/>
        <v>3474169.95</v>
      </c>
      <c r="G225" s="271">
        <v>2339596</v>
      </c>
      <c r="H225" s="271">
        <v>0</v>
      </c>
      <c r="I225" s="88">
        <v>175469.69999999998</v>
      </c>
      <c r="J225" s="88">
        <f t="shared" si="27"/>
        <v>7835576.9799999436</v>
      </c>
      <c r="K225" s="88">
        <f t="shared" si="28"/>
        <v>-143067207.03000006</v>
      </c>
    </row>
    <row r="226" spans="1:11" s="248" customFormat="1" x14ac:dyDescent="0.2">
      <c r="A226" s="65">
        <f t="shared" si="25"/>
        <v>169</v>
      </c>
      <c r="B226" s="130" t="s">
        <v>18</v>
      </c>
      <c r="C226" s="262">
        <v>2013</v>
      </c>
      <c r="D226" s="261">
        <v>4107260</v>
      </c>
      <c r="E226" s="88">
        <v>308044.5</v>
      </c>
      <c r="F226" s="88">
        <f t="shared" si="26"/>
        <v>4415304.5</v>
      </c>
      <c r="G226" s="271">
        <v>2573555</v>
      </c>
      <c r="H226" s="271">
        <v>0</v>
      </c>
      <c r="I226" s="88">
        <v>193016.625</v>
      </c>
      <c r="J226" s="88">
        <f t="shared" si="27"/>
        <v>9484309.8549999446</v>
      </c>
      <c r="K226" s="88">
        <f t="shared" si="28"/>
        <v>-141418474.15500003</v>
      </c>
    </row>
    <row r="227" spans="1:11" s="248" customFormat="1" x14ac:dyDescent="0.2">
      <c r="A227" s="65">
        <f t="shared" si="25"/>
        <v>170</v>
      </c>
      <c r="B227" s="130" t="s">
        <v>17</v>
      </c>
      <c r="C227" s="262">
        <v>2013</v>
      </c>
      <c r="D227" s="261">
        <v>4043500</v>
      </c>
      <c r="E227" s="88">
        <v>303262.5</v>
      </c>
      <c r="F227" s="88">
        <f t="shared" si="26"/>
        <v>4346762.5</v>
      </c>
      <c r="G227" s="271">
        <v>2688233</v>
      </c>
      <c r="H227" s="271">
        <v>0</v>
      </c>
      <c r="I227" s="88">
        <v>201617.47500000001</v>
      </c>
      <c r="J227" s="88">
        <f t="shared" si="27"/>
        <v>10941221.879999945</v>
      </c>
      <c r="K227" s="88">
        <f t="shared" si="28"/>
        <v>-139961562.13000005</v>
      </c>
    </row>
    <row r="228" spans="1:11" s="248" customFormat="1" x14ac:dyDescent="0.2">
      <c r="A228" s="65">
        <f t="shared" si="25"/>
        <v>171</v>
      </c>
      <c r="B228" s="130" t="s">
        <v>9</v>
      </c>
      <c r="C228" s="262">
        <v>2013</v>
      </c>
      <c r="D228" s="261">
        <v>2945671.0000000005</v>
      </c>
      <c r="E228" s="88">
        <v>220925.32500000004</v>
      </c>
      <c r="F228" s="88">
        <f t="shared" si="26"/>
        <v>3166596.3250000007</v>
      </c>
      <c r="G228" s="271">
        <v>13633297.469999997</v>
      </c>
      <c r="H228" s="271">
        <v>751720.47</v>
      </c>
      <c r="I228" s="88">
        <v>966118.27499999967</v>
      </c>
      <c r="J228" s="88">
        <f t="shared" si="27"/>
        <v>-491597.54000005056</v>
      </c>
      <c r="K228" s="88">
        <f t="shared" si="28"/>
        <v>-151394381.55000004</v>
      </c>
    </row>
    <row r="229" spans="1:11" s="248" customFormat="1" x14ac:dyDescent="0.2">
      <c r="A229" s="65">
        <f t="shared" si="25"/>
        <v>172</v>
      </c>
      <c r="B229" s="130" t="s">
        <v>10</v>
      </c>
      <c r="C229" s="262">
        <v>2014</v>
      </c>
      <c r="D229" s="261">
        <v>511659.66666666669</v>
      </c>
      <c r="E229" s="88">
        <v>38374.474999999999</v>
      </c>
      <c r="F229" s="88">
        <f t="shared" si="26"/>
        <v>550034.14166666672</v>
      </c>
      <c r="G229" s="271">
        <v>511659.66666666669</v>
      </c>
      <c r="H229" s="271">
        <v>0</v>
      </c>
      <c r="I229" s="88">
        <v>38374.474999999999</v>
      </c>
      <c r="J229" s="88">
        <f t="shared" si="27"/>
        <v>-491597.5400000505</v>
      </c>
      <c r="K229" s="88">
        <f t="shared" si="28"/>
        <v>-151394381.55000004</v>
      </c>
    </row>
    <row r="230" spans="1:11" s="248" customFormat="1" x14ac:dyDescent="0.2">
      <c r="A230" s="65">
        <f t="shared" si="25"/>
        <v>173</v>
      </c>
      <c r="B230" s="118" t="s">
        <v>11</v>
      </c>
      <c r="C230" s="262">
        <v>2014</v>
      </c>
      <c r="D230" s="261">
        <v>510349.66666666663</v>
      </c>
      <c r="E230" s="88">
        <v>38276.224999999999</v>
      </c>
      <c r="F230" s="88">
        <f t="shared" si="26"/>
        <v>548625.8916666666</v>
      </c>
      <c r="G230" s="271">
        <v>510349.66666666663</v>
      </c>
      <c r="H230" s="271">
        <v>0</v>
      </c>
      <c r="I230" s="88">
        <v>38276.224999999999</v>
      </c>
      <c r="J230" s="88">
        <f t="shared" si="27"/>
        <v>-491597.5400000505</v>
      </c>
      <c r="K230" s="88">
        <f t="shared" si="28"/>
        <v>-151394381.55000004</v>
      </c>
    </row>
    <row r="231" spans="1:11" s="248" customFormat="1" x14ac:dyDescent="0.2">
      <c r="A231" s="65">
        <f t="shared" si="25"/>
        <v>174</v>
      </c>
      <c r="B231" s="118" t="s">
        <v>21</v>
      </c>
      <c r="C231" s="262">
        <v>2014</v>
      </c>
      <c r="D231" s="261">
        <v>161659.66666666666</v>
      </c>
      <c r="E231" s="88">
        <v>12124.474999999999</v>
      </c>
      <c r="F231" s="88">
        <f t="shared" si="26"/>
        <v>173784.14166666666</v>
      </c>
      <c r="G231" s="271">
        <v>161659.66666666666</v>
      </c>
      <c r="H231" s="271">
        <v>0</v>
      </c>
      <c r="I231" s="88">
        <v>12124.474999999999</v>
      </c>
      <c r="J231" s="88">
        <f t="shared" si="27"/>
        <v>-491597.54000005045</v>
      </c>
      <c r="K231" s="88">
        <f t="shared" si="28"/>
        <v>-151394381.55000004</v>
      </c>
    </row>
    <row r="232" spans="1:11" s="248" customFormat="1" x14ac:dyDescent="0.2">
      <c r="A232" s="65">
        <f t="shared" si="25"/>
        <v>175</v>
      </c>
      <c r="B232" s="130" t="s">
        <v>12</v>
      </c>
      <c r="C232" s="262">
        <v>2014</v>
      </c>
      <c r="D232" s="261">
        <v>161659.66666666666</v>
      </c>
      <c r="E232" s="88">
        <v>12124.474999999999</v>
      </c>
      <c r="F232" s="88">
        <f t="shared" si="26"/>
        <v>173784.14166666666</v>
      </c>
      <c r="G232" s="271">
        <v>161659.66666666666</v>
      </c>
      <c r="H232" s="271">
        <v>0</v>
      </c>
      <c r="I232" s="88">
        <v>12124.474999999999</v>
      </c>
      <c r="J232" s="88">
        <f t="shared" si="27"/>
        <v>-491597.54000005045</v>
      </c>
      <c r="K232" s="88">
        <f t="shared" si="28"/>
        <v>-151394381.55000004</v>
      </c>
    </row>
    <row r="233" spans="1:11" s="248" customFormat="1" x14ac:dyDescent="0.2">
      <c r="A233" s="65">
        <f t="shared" si="25"/>
        <v>176</v>
      </c>
      <c r="B233" s="118" t="s">
        <v>13</v>
      </c>
      <c r="C233" s="262">
        <v>2014</v>
      </c>
      <c r="D233" s="261">
        <v>161659.66666666666</v>
      </c>
      <c r="E233" s="88">
        <v>12124.474999999999</v>
      </c>
      <c r="F233" s="88">
        <f t="shared" si="26"/>
        <v>173784.14166666666</v>
      </c>
      <c r="G233" s="271">
        <v>161659.66666666666</v>
      </c>
      <c r="H233" s="271">
        <v>0</v>
      </c>
      <c r="I233" s="88">
        <v>12124.474999999999</v>
      </c>
      <c r="J233" s="88">
        <f t="shared" si="27"/>
        <v>-491597.54000005045</v>
      </c>
      <c r="K233" s="88">
        <f t="shared" si="28"/>
        <v>-151394381.55000004</v>
      </c>
    </row>
    <row r="234" spans="1:11" s="248" customFormat="1" x14ac:dyDescent="0.2">
      <c r="A234" s="65">
        <f t="shared" si="25"/>
        <v>177</v>
      </c>
      <c r="B234" s="118" t="s">
        <v>28</v>
      </c>
      <c r="C234" s="262">
        <v>2014</v>
      </c>
      <c r="D234" s="261">
        <v>161659.66666666666</v>
      </c>
      <c r="E234" s="88">
        <v>12124.474999999999</v>
      </c>
      <c r="F234" s="88">
        <f t="shared" si="26"/>
        <v>173784.14166666666</v>
      </c>
      <c r="G234" s="271">
        <v>161659.66666666666</v>
      </c>
      <c r="H234" s="271">
        <v>0</v>
      </c>
      <c r="I234" s="88">
        <v>12124.474999999999</v>
      </c>
      <c r="J234" s="88">
        <f t="shared" si="27"/>
        <v>-491597.54000005045</v>
      </c>
      <c r="K234" s="88">
        <f t="shared" si="28"/>
        <v>-151394381.55000004</v>
      </c>
    </row>
    <row r="235" spans="1:11" s="248" customFormat="1" x14ac:dyDescent="0.2">
      <c r="A235" s="65">
        <f t="shared" si="25"/>
        <v>178</v>
      </c>
      <c r="B235" s="130" t="s">
        <v>14</v>
      </c>
      <c r="C235" s="262">
        <v>2014</v>
      </c>
      <c r="D235" s="261">
        <v>0</v>
      </c>
      <c r="E235" s="88">
        <v>0</v>
      </c>
      <c r="F235" s="88">
        <f t="shared" si="26"/>
        <v>0</v>
      </c>
      <c r="G235" s="271">
        <v>0</v>
      </c>
      <c r="H235" s="271">
        <v>0</v>
      </c>
      <c r="I235" s="88">
        <v>0</v>
      </c>
      <c r="J235" s="88">
        <f t="shared" si="27"/>
        <v>-491597.54000005045</v>
      </c>
      <c r="K235" s="88">
        <f t="shared" si="28"/>
        <v>-151394381.55000004</v>
      </c>
    </row>
    <row r="236" spans="1:11" s="248" customFormat="1" x14ac:dyDescent="0.2">
      <c r="A236" s="65">
        <f t="shared" si="25"/>
        <v>179</v>
      </c>
      <c r="B236" s="118" t="s">
        <v>15</v>
      </c>
      <c r="C236" s="262">
        <v>2014</v>
      </c>
      <c r="D236" s="261">
        <v>0</v>
      </c>
      <c r="E236" s="88">
        <v>0</v>
      </c>
      <c r="F236" s="88">
        <f t="shared" si="26"/>
        <v>0</v>
      </c>
      <c r="G236" s="271">
        <v>0</v>
      </c>
      <c r="H236" s="271">
        <v>0</v>
      </c>
      <c r="I236" s="88">
        <v>0</v>
      </c>
      <c r="J236" s="88">
        <f t="shared" si="27"/>
        <v>-491597.54000005045</v>
      </c>
      <c r="K236" s="88">
        <f t="shared" si="28"/>
        <v>-151394381.55000004</v>
      </c>
    </row>
    <row r="237" spans="1:11" s="248" customFormat="1" x14ac:dyDescent="0.2">
      <c r="A237" s="65">
        <f t="shared" si="25"/>
        <v>180</v>
      </c>
      <c r="B237" s="118" t="s">
        <v>16</v>
      </c>
      <c r="C237" s="262">
        <v>2014</v>
      </c>
      <c r="D237" s="261">
        <v>0</v>
      </c>
      <c r="E237" s="88">
        <v>0</v>
      </c>
      <c r="F237" s="88">
        <f t="shared" si="26"/>
        <v>0</v>
      </c>
      <c r="G237" s="271">
        <v>0</v>
      </c>
      <c r="H237" s="271">
        <v>0</v>
      </c>
      <c r="I237" s="88">
        <v>0</v>
      </c>
      <c r="J237" s="88">
        <f t="shared" si="27"/>
        <v>-491597.54000005045</v>
      </c>
      <c r="K237" s="88">
        <f t="shared" si="28"/>
        <v>-151394381.55000004</v>
      </c>
    </row>
    <row r="238" spans="1:11" s="248" customFormat="1" x14ac:dyDescent="0.2">
      <c r="A238" s="65">
        <f t="shared" si="25"/>
        <v>181</v>
      </c>
      <c r="B238" s="118" t="s">
        <v>18</v>
      </c>
      <c r="C238" s="262">
        <v>2014</v>
      </c>
      <c r="D238" s="261">
        <v>0</v>
      </c>
      <c r="E238" s="88">
        <v>0</v>
      </c>
      <c r="F238" s="88">
        <f t="shared" si="26"/>
        <v>0</v>
      </c>
      <c r="G238" s="271">
        <v>0</v>
      </c>
      <c r="H238" s="271">
        <v>0</v>
      </c>
      <c r="I238" s="88">
        <v>0</v>
      </c>
      <c r="J238" s="88">
        <f t="shared" si="27"/>
        <v>-491597.54000005045</v>
      </c>
      <c r="K238" s="88">
        <f t="shared" si="28"/>
        <v>-151394381.55000004</v>
      </c>
    </row>
    <row r="239" spans="1:11" s="248" customFormat="1" x14ac:dyDescent="0.2">
      <c r="A239" s="65">
        <f t="shared" si="25"/>
        <v>182</v>
      </c>
      <c r="B239" s="118" t="s">
        <v>17</v>
      </c>
      <c r="C239" s="262">
        <v>2014</v>
      </c>
      <c r="D239" s="261">
        <v>0</v>
      </c>
      <c r="E239" s="88">
        <v>0</v>
      </c>
      <c r="F239" s="88">
        <f t="shared" si="26"/>
        <v>0</v>
      </c>
      <c r="G239" s="271">
        <v>0</v>
      </c>
      <c r="H239" s="271">
        <v>0</v>
      </c>
      <c r="I239" s="88">
        <v>0</v>
      </c>
      <c r="J239" s="88">
        <f t="shared" si="27"/>
        <v>-491597.54000005045</v>
      </c>
      <c r="K239" s="88">
        <f t="shared" si="28"/>
        <v>-151394381.55000004</v>
      </c>
    </row>
    <row r="240" spans="1:11" s="248" customFormat="1" x14ac:dyDescent="0.2">
      <c r="A240" s="65">
        <f t="shared" si="25"/>
        <v>183</v>
      </c>
      <c r="B240" s="118" t="s">
        <v>9</v>
      </c>
      <c r="C240" s="262">
        <v>2014</v>
      </c>
      <c r="D240" s="261">
        <v>0</v>
      </c>
      <c r="E240" s="88">
        <v>0</v>
      </c>
      <c r="F240" s="88">
        <f t="shared" si="26"/>
        <v>0</v>
      </c>
      <c r="G240" s="271">
        <v>0</v>
      </c>
      <c r="H240" s="271">
        <v>0</v>
      </c>
      <c r="I240" s="88">
        <v>0</v>
      </c>
      <c r="J240" s="88">
        <f t="shared" si="27"/>
        <v>-491597.54000005045</v>
      </c>
      <c r="K240" s="260">
        <f t="shared" si="28"/>
        <v>-151394381.55000004</v>
      </c>
    </row>
    <row r="241" spans="1:11" s="248" customFormat="1" x14ac:dyDescent="0.2">
      <c r="A241" s="65">
        <f t="shared" si="25"/>
        <v>184</v>
      </c>
      <c r="B241"/>
      <c r="C241" s="259" t="s">
        <v>343</v>
      </c>
      <c r="D241"/>
      <c r="E241"/>
      <c r="F241"/>
      <c r="G241"/>
      <c r="H241"/>
      <c r="I241"/>
      <c r="J241" s="57"/>
      <c r="K241" s="270">
        <f>AVERAGE(K228:K240)</f>
        <v>-151394381.55000001</v>
      </c>
    </row>
    <row r="242" spans="1:11" s="248" customFormat="1" x14ac:dyDescent="0.2">
      <c r="A242" s="65"/>
      <c r="B242"/>
      <c r="C242" s="259"/>
      <c r="D242"/>
      <c r="E242"/>
      <c r="F242"/>
      <c r="G242"/>
      <c r="H242"/>
      <c r="I242"/>
      <c r="J242"/>
      <c r="K242" s="258"/>
    </row>
    <row r="243" spans="1:11" s="248" customFormat="1" x14ac:dyDescent="0.2">
      <c r="B243" s="269" t="s">
        <v>362</v>
      </c>
      <c r="D243" s="548" t="s">
        <v>361</v>
      </c>
      <c r="E243" s="548"/>
    </row>
    <row r="244" spans="1:11" s="248" customFormat="1" x14ac:dyDescent="0.2">
      <c r="A244" s="263"/>
      <c r="B244" s="263"/>
      <c r="C244" s="263"/>
      <c r="D244" s="263" t="s">
        <v>167</v>
      </c>
      <c r="E244" s="263" t="s">
        <v>168</v>
      </c>
      <c r="F244" s="263" t="s">
        <v>184</v>
      </c>
      <c r="G244" s="263" t="s">
        <v>185</v>
      </c>
      <c r="H244" s="263" t="s">
        <v>186</v>
      </c>
      <c r="I244" s="263" t="s">
        <v>187</v>
      </c>
      <c r="J244" s="263" t="s">
        <v>188</v>
      </c>
      <c r="K244" s="263" t="s">
        <v>350</v>
      </c>
    </row>
    <row r="245" spans="1:11" s="248" customFormat="1" ht="38.25" x14ac:dyDescent="0.2">
      <c r="D245" s="265"/>
      <c r="E245" s="264" t="s">
        <v>349</v>
      </c>
      <c r="F245" s="252" t="s">
        <v>348</v>
      </c>
      <c r="G245" s="266"/>
      <c r="H245" s="265"/>
      <c r="I245" s="264" t="s">
        <v>347</v>
      </c>
      <c r="J245" s="264" t="s">
        <v>346</v>
      </c>
      <c r="K245" s="264" t="s">
        <v>345</v>
      </c>
    </row>
    <row r="246" spans="1:11" s="248" customFormat="1" x14ac:dyDescent="0.2">
      <c r="D246" s="265"/>
      <c r="E246" s="265"/>
      <c r="F246" s="265"/>
      <c r="G246" s="60" t="s">
        <v>360</v>
      </c>
      <c r="H246" s="265"/>
      <c r="I246" s="265"/>
    </row>
    <row r="247" spans="1:11" s="248" customFormat="1" x14ac:dyDescent="0.2">
      <c r="A247" s="255"/>
      <c r="B247" s="255"/>
      <c r="C247" s="255"/>
      <c r="D247" s="255" t="str">
        <f>D$52</f>
        <v>Forecast</v>
      </c>
      <c r="E247" s="255" t="str">
        <f>E$52</f>
        <v>Corporate</v>
      </c>
      <c r="F247" s="255" t="str">
        <f>F$52</f>
        <v xml:space="preserve">Total </v>
      </c>
      <c r="G247" s="255" t="s">
        <v>169</v>
      </c>
      <c r="H247" s="255" t="str">
        <f>H$52</f>
        <v>Prior Period</v>
      </c>
      <c r="I247" s="255" t="str">
        <f>I$52</f>
        <v>Over Heads</v>
      </c>
      <c r="J247" s="255" t="str">
        <f>J$52</f>
        <v>Forecast</v>
      </c>
      <c r="K247" s="60" t="str">
        <f>K$52</f>
        <v>Forecast Period</v>
      </c>
    </row>
    <row r="248" spans="1:11" s="248" customFormat="1" x14ac:dyDescent="0.2">
      <c r="A248" s="102" t="s">
        <v>170</v>
      </c>
      <c r="B248" s="128" t="s">
        <v>19</v>
      </c>
      <c r="C248" s="128" t="s">
        <v>20</v>
      </c>
      <c r="D248" s="263" t="str">
        <f>D$53</f>
        <v>Expenditures</v>
      </c>
      <c r="E248" s="263" t="str">
        <f>E$53</f>
        <v>Overheads</v>
      </c>
      <c r="F248" s="263" t="str">
        <f>F$53</f>
        <v>CWIP Exp</v>
      </c>
      <c r="G248" s="263" t="s">
        <v>359</v>
      </c>
      <c r="H248" s="263" t="str">
        <f>H$53</f>
        <v>CWIP Closed</v>
      </c>
      <c r="I248" s="263" t="str">
        <f>I$53</f>
        <v>Closed to PIS</v>
      </c>
      <c r="J248" s="263" t="str">
        <f>J$53</f>
        <v>Period CWIP</v>
      </c>
      <c r="K248" s="263" t="str">
        <f>K$53</f>
        <v>Incremental CWIP</v>
      </c>
    </row>
    <row r="249" spans="1:11" s="248" customFormat="1" x14ac:dyDescent="0.2">
      <c r="A249" s="65">
        <f>A241+1</f>
        <v>185</v>
      </c>
      <c r="B249" s="130" t="s">
        <v>9</v>
      </c>
      <c r="C249" s="262">
        <v>2012</v>
      </c>
      <c r="D249" s="252" t="s">
        <v>344</v>
      </c>
      <c r="E249" s="252" t="s">
        <v>344</v>
      </c>
      <c r="F249" s="252" t="s">
        <v>344</v>
      </c>
      <c r="G249" s="252" t="s">
        <v>344</v>
      </c>
      <c r="H249" s="252" t="s">
        <v>344</v>
      </c>
      <c r="I249" s="252" t="s">
        <v>344</v>
      </c>
      <c r="J249" s="88">
        <f>D45</f>
        <v>3256743.08</v>
      </c>
      <c r="K249" s="252" t="s">
        <v>344</v>
      </c>
    </row>
    <row r="250" spans="1:11" s="248" customFormat="1" x14ac:dyDescent="0.2">
      <c r="A250" s="65">
        <f t="shared" ref="A250:A274" si="29">A249+1</f>
        <v>186</v>
      </c>
      <c r="B250" s="130" t="s">
        <v>10</v>
      </c>
      <c r="C250" s="262">
        <v>2013</v>
      </c>
      <c r="D250" s="261">
        <v>8000</v>
      </c>
      <c r="E250" s="88">
        <v>600</v>
      </c>
      <c r="F250" s="88">
        <f t="shared" ref="F250:F273" si="30">E250+D250</f>
        <v>8600</v>
      </c>
      <c r="G250" s="271">
        <v>-136000</v>
      </c>
      <c r="H250" s="271">
        <v>-136000</v>
      </c>
      <c r="I250" s="67">
        <v>0</v>
      </c>
      <c r="J250" s="88">
        <f t="shared" ref="J250:J273" si="31">J249+F250-G250-I250</f>
        <v>3401343.08</v>
      </c>
      <c r="K250" s="88">
        <f t="shared" ref="K250:K273" si="32">J250-$J$249</f>
        <v>144600</v>
      </c>
    </row>
    <row r="251" spans="1:11" s="248" customFormat="1" x14ac:dyDescent="0.2">
      <c r="A251" s="65">
        <f t="shared" si="29"/>
        <v>187</v>
      </c>
      <c r="B251" s="118" t="s">
        <v>11</v>
      </c>
      <c r="C251" s="262">
        <v>2013</v>
      </c>
      <c r="D251" s="261">
        <v>252000</v>
      </c>
      <c r="E251" s="88">
        <v>18900</v>
      </c>
      <c r="F251" s="88">
        <f t="shared" si="30"/>
        <v>270900</v>
      </c>
      <c r="G251" s="271">
        <v>90000</v>
      </c>
      <c r="H251" s="271">
        <v>90000</v>
      </c>
      <c r="I251" s="67">
        <v>0</v>
      </c>
      <c r="J251" s="88">
        <f t="shared" si="31"/>
        <v>3582243.08</v>
      </c>
      <c r="K251" s="88">
        <f t="shared" si="32"/>
        <v>325500</v>
      </c>
    </row>
    <row r="252" spans="1:11" s="248" customFormat="1" x14ac:dyDescent="0.2">
      <c r="A252" s="65">
        <f t="shared" si="29"/>
        <v>188</v>
      </c>
      <c r="B252" s="118" t="s">
        <v>21</v>
      </c>
      <c r="C252" s="262">
        <v>2013</v>
      </c>
      <c r="D252" s="261">
        <v>90000</v>
      </c>
      <c r="E252" s="88">
        <v>6750</v>
      </c>
      <c r="F252" s="88">
        <f t="shared" si="30"/>
        <v>96750</v>
      </c>
      <c r="G252" s="271">
        <v>12000</v>
      </c>
      <c r="H252" s="271">
        <v>12000</v>
      </c>
      <c r="I252" s="67">
        <v>0</v>
      </c>
      <c r="J252" s="88">
        <f t="shared" si="31"/>
        <v>3666993.08</v>
      </c>
      <c r="K252" s="88">
        <f t="shared" si="32"/>
        <v>410250</v>
      </c>
    </row>
    <row r="253" spans="1:11" s="248" customFormat="1" x14ac:dyDescent="0.2">
      <c r="A253" s="65">
        <f t="shared" si="29"/>
        <v>189</v>
      </c>
      <c r="B253" s="130" t="s">
        <v>12</v>
      </c>
      <c r="C253" s="262">
        <v>2013</v>
      </c>
      <c r="D253" s="261">
        <v>565000</v>
      </c>
      <c r="E253" s="88">
        <v>42375</v>
      </c>
      <c r="F253" s="88">
        <f t="shared" si="30"/>
        <v>607375</v>
      </c>
      <c r="G253" s="271">
        <v>380000</v>
      </c>
      <c r="H253" s="271">
        <v>380000</v>
      </c>
      <c r="I253" s="67">
        <v>0</v>
      </c>
      <c r="J253" s="88">
        <f t="shared" si="31"/>
        <v>3894368.08</v>
      </c>
      <c r="K253" s="88">
        <f t="shared" si="32"/>
        <v>637625</v>
      </c>
    </row>
    <row r="254" spans="1:11" s="248" customFormat="1" x14ac:dyDescent="0.2">
      <c r="A254" s="65">
        <f t="shared" si="29"/>
        <v>190</v>
      </c>
      <c r="B254" s="118" t="s">
        <v>13</v>
      </c>
      <c r="C254" s="262">
        <v>2013</v>
      </c>
      <c r="D254" s="261">
        <v>4020000</v>
      </c>
      <c r="E254" s="88">
        <v>301500</v>
      </c>
      <c r="F254" s="88">
        <f t="shared" si="30"/>
        <v>4321500</v>
      </c>
      <c r="G254" s="271">
        <v>0</v>
      </c>
      <c r="H254" s="271">
        <v>0</v>
      </c>
      <c r="I254" s="88">
        <v>0</v>
      </c>
      <c r="J254" s="88">
        <f t="shared" si="31"/>
        <v>8215868.0800000001</v>
      </c>
      <c r="K254" s="88">
        <f t="shared" si="32"/>
        <v>4959125</v>
      </c>
    </row>
    <row r="255" spans="1:11" s="248" customFormat="1" x14ac:dyDescent="0.2">
      <c r="A255" s="65">
        <f t="shared" si="29"/>
        <v>191</v>
      </c>
      <c r="B255" s="118" t="s">
        <v>28</v>
      </c>
      <c r="C255" s="262">
        <v>2013</v>
      </c>
      <c r="D255" s="261">
        <v>1505000</v>
      </c>
      <c r="E255" s="88">
        <v>112875</v>
      </c>
      <c r="F255" s="88">
        <f t="shared" si="30"/>
        <v>1617875</v>
      </c>
      <c r="G255" s="271">
        <v>0</v>
      </c>
      <c r="H255" s="271">
        <v>0</v>
      </c>
      <c r="I255" s="88">
        <v>0</v>
      </c>
      <c r="J255" s="88">
        <f t="shared" si="31"/>
        <v>9833743.0800000001</v>
      </c>
      <c r="K255" s="88">
        <f t="shared" si="32"/>
        <v>6577000</v>
      </c>
    </row>
    <row r="256" spans="1:11" s="248" customFormat="1" x14ac:dyDescent="0.2">
      <c r="A256" s="65">
        <f t="shared" si="29"/>
        <v>192</v>
      </c>
      <c r="B256" s="130" t="s">
        <v>14</v>
      </c>
      <c r="C256" s="262">
        <v>2013</v>
      </c>
      <c r="D256" s="261">
        <v>2585000</v>
      </c>
      <c r="E256" s="88">
        <v>193875</v>
      </c>
      <c r="F256" s="88">
        <f t="shared" si="30"/>
        <v>2778875</v>
      </c>
      <c r="G256" s="271">
        <v>0</v>
      </c>
      <c r="H256" s="271">
        <v>0</v>
      </c>
      <c r="I256" s="88">
        <v>0</v>
      </c>
      <c r="J256" s="88">
        <f t="shared" si="31"/>
        <v>12612618.08</v>
      </c>
      <c r="K256" s="88">
        <f t="shared" si="32"/>
        <v>9355875</v>
      </c>
    </row>
    <row r="257" spans="1:11" s="248" customFormat="1" x14ac:dyDescent="0.2">
      <c r="A257" s="65">
        <f t="shared" si="29"/>
        <v>193</v>
      </c>
      <c r="B257" s="118" t="s">
        <v>15</v>
      </c>
      <c r="C257" s="262">
        <v>2013</v>
      </c>
      <c r="D257" s="261">
        <v>6570000</v>
      </c>
      <c r="E257" s="88">
        <v>492750</v>
      </c>
      <c r="F257" s="88">
        <f t="shared" si="30"/>
        <v>7062750</v>
      </c>
      <c r="G257" s="271">
        <v>0</v>
      </c>
      <c r="H257" s="271">
        <v>0</v>
      </c>
      <c r="I257" s="88">
        <v>0</v>
      </c>
      <c r="J257" s="88">
        <f t="shared" si="31"/>
        <v>19675368.079999998</v>
      </c>
      <c r="K257" s="88">
        <f t="shared" si="32"/>
        <v>16418624.999999998</v>
      </c>
    </row>
    <row r="258" spans="1:11" s="248" customFormat="1" x14ac:dyDescent="0.2">
      <c r="A258" s="65">
        <f t="shared" si="29"/>
        <v>194</v>
      </c>
      <c r="B258" s="118" t="s">
        <v>16</v>
      </c>
      <c r="C258" s="262">
        <v>2013</v>
      </c>
      <c r="D258" s="261">
        <v>1780000</v>
      </c>
      <c r="E258" s="88">
        <v>133500</v>
      </c>
      <c r="F258" s="88">
        <f t="shared" si="30"/>
        <v>1913500</v>
      </c>
      <c r="G258" s="271">
        <v>4069059.9499999997</v>
      </c>
      <c r="H258" s="271">
        <v>1643059.9500000002</v>
      </c>
      <c r="I258" s="88">
        <v>181949.99999999997</v>
      </c>
      <c r="J258" s="88">
        <f t="shared" si="31"/>
        <v>17337858.129999999</v>
      </c>
      <c r="K258" s="88">
        <f t="shared" si="32"/>
        <v>14081115.049999999</v>
      </c>
    </row>
    <row r="259" spans="1:11" s="248" customFormat="1" x14ac:dyDescent="0.2">
      <c r="A259" s="65">
        <f t="shared" si="29"/>
        <v>195</v>
      </c>
      <c r="B259" s="130" t="s">
        <v>18</v>
      </c>
      <c r="C259" s="262">
        <v>2013</v>
      </c>
      <c r="D259" s="261">
        <v>1666000</v>
      </c>
      <c r="E259" s="88">
        <v>124950</v>
      </c>
      <c r="F259" s="88">
        <f t="shared" si="30"/>
        <v>1790950</v>
      </c>
      <c r="G259" s="271">
        <v>476000</v>
      </c>
      <c r="H259" s="271">
        <v>0</v>
      </c>
      <c r="I259" s="88">
        <v>35700</v>
      </c>
      <c r="J259" s="88">
        <f t="shared" si="31"/>
        <v>18617108.129999999</v>
      </c>
      <c r="K259" s="88">
        <f t="shared" si="32"/>
        <v>15360365.049999999</v>
      </c>
    </row>
    <row r="260" spans="1:11" s="248" customFormat="1" x14ac:dyDescent="0.2">
      <c r="A260" s="65">
        <f t="shared" si="29"/>
        <v>196</v>
      </c>
      <c r="B260" s="130" t="s">
        <v>17</v>
      </c>
      <c r="C260" s="262">
        <v>2013</v>
      </c>
      <c r="D260" s="261">
        <v>1000000</v>
      </c>
      <c r="E260" s="88">
        <v>75000</v>
      </c>
      <c r="F260" s="88">
        <f t="shared" si="30"/>
        <v>1075000</v>
      </c>
      <c r="G260" s="271">
        <v>0</v>
      </c>
      <c r="H260" s="271">
        <v>0</v>
      </c>
      <c r="I260" s="88">
        <v>0</v>
      </c>
      <c r="J260" s="88">
        <f t="shared" si="31"/>
        <v>19692108.129999999</v>
      </c>
      <c r="K260" s="88">
        <f t="shared" si="32"/>
        <v>16435365.049999999</v>
      </c>
    </row>
    <row r="261" spans="1:11" s="248" customFormat="1" x14ac:dyDescent="0.2">
      <c r="A261" s="65">
        <f t="shared" si="29"/>
        <v>197</v>
      </c>
      <c r="B261" s="130" t="s">
        <v>9</v>
      </c>
      <c r="C261" s="262">
        <v>2013</v>
      </c>
      <c r="D261" s="261">
        <v>2830000</v>
      </c>
      <c r="E261" s="88">
        <v>212250</v>
      </c>
      <c r="F261" s="88">
        <f t="shared" si="30"/>
        <v>3042250</v>
      </c>
      <c r="G261" s="271">
        <v>0</v>
      </c>
      <c r="H261" s="271">
        <v>0</v>
      </c>
      <c r="I261" s="88">
        <v>0</v>
      </c>
      <c r="J261" s="88">
        <f t="shared" si="31"/>
        <v>22734358.129999999</v>
      </c>
      <c r="K261" s="88">
        <f t="shared" si="32"/>
        <v>19477615.049999997</v>
      </c>
    </row>
    <row r="262" spans="1:11" s="248" customFormat="1" x14ac:dyDescent="0.2">
      <c r="A262" s="65">
        <f t="shared" si="29"/>
        <v>198</v>
      </c>
      <c r="B262" s="130" t="s">
        <v>10</v>
      </c>
      <c r="C262" s="262">
        <v>2014</v>
      </c>
      <c r="D262" s="261">
        <v>8500000</v>
      </c>
      <c r="E262" s="88">
        <v>637500</v>
      </c>
      <c r="F262" s="88">
        <f t="shared" si="30"/>
        <v>9137500</v>
      </c>
      <c r="G262" s="271">
        <v>0</v>
      </c>
      <c r="H262" s="271">
        <v>0</v>
      </c>
      <c r="I262" s="88">
        <v>0</v>
      </c>
      <c r="J262" s="88">
        <f t="shared" si="31"/>
        <v>31871858.129999999</v>
      </c>
      <c r="K262" s="88">
        <f t="shared" si="32"/>
        <v>28615115.049999997</v>
      </c>
    </row>
    <row r="263" spans="1:11" s="248" customFormat="1" x14ac:dyDescent="0.2">
      <c r="A263" s="65">
        <f t="shared" si="29"/>
        <v>199</v>
      </c>
      <c r="B263" s="118" t="s">
        <v>11</v>
      </c>
      <c r="C263" s="262">
        <v>2014</v>
      </c>
      <c r="D263" s="261">
        <v>300000</v>
      </c>
      <c r="E263" s="88">
        <v>22500</v>
      </c>
      <c r="F263" s="88">
        <f t="shared" si="30"/>
        <v>322500</v>
      </c>
      <c r="G263" s="271">
        <v>0</v>
      </c>
      <c r="H263" s="271">
        <v>0</v>
      </c>
      <c r="I263" s="88">
        <v>0</v>
      </c>
      <c r="J263" s="88">
        <f t="shared" si="31"/>
        <v>32194358.129999999</v>
      </c>
      <c r="K263" s="88">
        <f t="shared" si="32"/>
        <v>28937615.049999997</v>
      </c>
    </row>
    <row r="264" spans="1:11" s="248" customFormat="1" x14ac:dyDescent="0.2">
      <c r="A264" s="65">
        <f t="shared" si="29"/>
        <v>200</v>
      </c>
      <c r="B264" s="118" t="s">
        <v>21</v>
      </c>
      <c r="C264" s="262">
        <v>2014</v>
      </c>
      <c r="D264" s="261">
        <v>2100000</v>
      </c>
      <c r="E264" s="88">
        <v>157500</v>
      </c>
      <c r="F264" s="88">
        <f t="shared" si="30"/>
        <v>2257500</v>
      </c>
      <c r="G264" s="271">
        <v>0</v>
      </c>
      <c r="H264" s="271">
        <v>0</v>
      </c>
      <c r="I264" s="88">
        <v>0</v>
      </c>
      <c r="J264" s="88">
        <f t="shared" si="31"/>
        <v>34451858.129999995</v>
      </c>
      <c r="K264" s="88">
        <f t="shared" si="32"/>
        <v>31195115.049999997</v>
      </c>
    </row>
    <row r="265" spans="1:11" s="248" customFormat="1" x14ac:dyDescent="0.2">
      <c r="A265" s="65">
        <f t="shared" si="29"/>
        <v>201</v>
      </c>
      <c r="B265" s="130" t="s">
        <v>12</v>
      </c>
      <c r="C265" s="262">
        <v>2014</v>
      </c>
      <c r="D265" s="261">
        <v>600000</v>
      </c>
      <c r="E265" s="88">
        <v>45000</v>
      </c>
      <c r="F265" s="88">
        <f t="shared" si="30"/>
        <v>645000</v>
      </c>
      <c r="G265" s="271">
        <v>0</v>
      </c>
      <c r="H265" s="271">
        <v>0</v>
      </c>
      <c r="I265" s="88">
        <v>0</v>
      </c>
      <c r="J265" s="88">
        <f t="shared" si="31"/>
        <v>35096858.129999995</v>
      </c>
      <c r="K265" s="88">
        <f t="shared" si="32"/>
        <v>31840115.049999997</v>
      </c>
    </row>
    <row r="266" spans="1:11" s="248" customFormat="1" x14ac:dyDescent="0.2">
      <c r="A266" s="65">
        <f t="shared" si="29"/>
        <v>202</v>
      </c>
      <c r="B266" s="118" t="s">
        <v>13</v>
      </c>
      <c r="C266" s="262">
        <v>2014</v>
      </c>
      <c r="D266" s="261">
        <v>600000</v>
      </c>
      <c r="E266" s="88">
        <v>45000</v>
      </c>
      <c r="F266" s="88">
        <f t="shared" si="30"/>
        <v>645000</v>
      </c>
      <c r="G266" s="271">
        <v>0</v>
      </c>
      <c r="H266" s="271">
        <v>0</v>
      </c>
      <c r="I266" s="88">
        <v>0</v>
      </c>
      <c r="J266" s="88">
        <f t="shared" si="31"/>
        <v>35741858.129999995</v>
      </c>
      <c r="K266" s="88">
        <f t="shared" si="32"/>
        <v>32485115.049999997</v>
      </c>
    </row>
    <row r="267" spans="1:11" s="248" customFormat="1" x14ac:dyDescent="0.2">
      <c r="A267" s="65">
        <f t="shared" si="29"/>
        <v>203</v>
      </c>
      <c r="B267" s="118" t="s">
        <v>28</v>
      </c>
      <c r="C267" s="262">
        <v>2014</v>
      </c>
      <c r="D267" s="261">
        <v>600000</v>
      </c>
      <c r="E267" s="88">
        <v>45000</v>
      </c>
      <c r="F267" s="88">
        <f t="shared" si="30"/>
        <v>645000</v>
      </c>
      <c r="G267" s="271">
        <v>0</v>
      </c>
      <c r="H267" s="271">
        <v>0</v>
      </c>
      <c r="I267" s="88">
        <v>0</v>
      </c>
      <c r="J267" s="88">
        <f t="shared" si="31"/>
        <v>36386858.129999995</v>
      </c>
      <c r="K267" s="88">
        <f t="shared" si="32"/>
        <v>33130115.049999997</v>
      </c>
    </row>
    <row r="268" spans="1:11" s="248" customFormat="1" x14ac:dyDescent="0.2">
      <c r="A268" s="65">
        <f t="shared" si="29"/>
        <v>204</v>
      </c>
      <c r="B268" s="130" t="s">
        <v>14</v>
      </c>
      <c r="C268" s="262">
        <v>2014</v>
      </c>
      <c r="D268" s="261">
        <v>900000</v>
      </c>
      <c r="E268" s="88">
        <v>67500</v>
      </c>
      <c r="F268" s="88">
        <f t="shared" si="30"/>
        <v>967500</v>
      </c>
      <c r="G268" s="271">
        <v>0</v>
      </c>
      <c r="H268" s="271">
        <v>0</v>
      </c>
      <c r="I268" s="88">
        <v>0</v>
      </c>
      <c r="J268" s="88">
        <f t="shared" si="31"/>
        <v>37354358.129999995</v>
      </c>
      <c r="K268" s="88">
        <f t="shared" si="32"/>
        <v>34097615.049999997</v>
      </c>
    </row>
    <row r="269" spans="1:11" s="248" customFormat="1" x14ac:dyDescent="0.2">
      <c r="A269" s="65">
        <f t="shared" si="29"/>
        <v>205</v>
      </c>
      <c r="B269" s="118" t="s">
        <v>15</v>
      </c>
      <c r="C269" s="262">
        <v>2014</v>
      </c>
      <c r="D269" s="261">
        <v>1500000</v>
      </c>
      <c r="E269" s="88">
        <v>112500</v>
      </c>
      <c r="F269" s="88">
        <f t="shared" si="30"/>
        <v>1612500</v>
      </c>
      <c r="G269" s="271">
        <v>0</v>
      </c>
      <c r="H269" s="271">
        <v>0</v>
      </c>
      <c r="I269" s="88">
        <v>0</v>
      </c>
      <c r="J269" s="88">
        <f t="shared" si="31"/>
        <v>38966858.129999995</v>
      </c>
      <c r="K269" s="88">
        <f t="shared" si="32"/>
        <v>35710115.049999997</v>
      </c>
    </row>
    <row r="270" spans="1:11" s="248" customFormat="1" x14ac:dyDescent="0.2">
      <c r="A270" s="65">
        <f t="shared" si="29"/>
        <v>206</v>
      </c>
      <c r="B270" s="118" t="s">
        <v>16</v>
      </c>
      <c r="C270" s="262">
        <v>2014</v>
      </c>
      <c r="D270" s="261">
        <v>1000000</v>
      </c>
      <c r="E270" s="88">
        <v>75000</v>
      </c>
      <c r="F270" s="88">
        <f t="shared" si="30"/>
        <v>1075000</v>
      </c>
      <c r="G270" s="271">
        <v>0</v>
      </c>
      <c r="H270" s="271">
        <v>0</v>
      </c>
      <c r="I270" s="88">
        <v>0</v>
      </c>
      <c r="J270" s="88">
        <f t="shared" si="31"/>
        <v>40041858.129999995</v>
      </c>
      <c r="K270" s="88">
        <f t="shared" si="32"/>
        <v>36785115.049999997</v>
      </c>
    </row>
    <row r="271" spans="1:11" s="248" customFormat="1" x14ac:dyDescent="0.2">
      <c r="A271" s="65">
        <f t="shared" si="29"/>
        <v>207</v>
      </c>
      <c r="B271" s="118" t="s">
        <v>18</v>
      </c>
      <c r="C271" s="262">
        <v>2014</v>
      </c>
      <c r="D271" s="261">
        <v>2000000</v>
      </c>
      <c r="E271" s="88">
        <v>150000</v>
      </c>
      <c r="F271" s="88">
        <f t="shared" si="30"/>
        <v>2150000</v>
      </c>
      <c r="G271" s="271">
        <v>0</v>
      </c>
      <c r="H271" s="271">
        <v>0</v>
      </c>
      <c r="I271" s="88">
        <v>0</v>
      </c>
      <c r="J271" s="88">
        <f t="shared" si="31"/>
        <v>42191858.129999995</v>
      </c>
      <c r="K271" s="88">
        <f t="shared" si="32"/>
        <v>38935115.049999997</v>
      </c>
    </row>
    <row r="272" spans="1:11" s="248" customFormat="1" x14ac:dyDescent="0.2">
      <c r="A272" s="65">
        <f t="shared" si="29"/>
        <v>208</v>
      </c>
      <c r="B272" s="118" t="s">
        <v>17</v>
      </c>
      <c r="C272" s="262">
        <v>2014</v>
      </c>
      <c r="D272" s="261">
        <v>2400000</v>
      </c>
      <c r="E272" s="88">
        <v>180000</v>
      </c>
      <c r="F272" s="88">
        <f t="shared" si="30"/>
        <v>2580000</v>
      </c>
      <c r="G272" s="271">
        <v>0</v>
      </c>
      <c r="H272" s="271">
        <v>0</v>
      </c>
      <c r="I272" s="88">
        <v>0</v>
      </c>
      <c r="J272" s="88">
        <f t="shared" si="31"/>
        <v>44771858.129999995</v>
      </c>
      <c r="K272" s="88">
        <f t="shared" si="32"/>
        <v>41515115.049999997</v>
      </c>
    </row>
    <row r="273" spans="1:13" s="248" customFormat="1" x14ac:dyDescent="0.2">
      <c r="A273" s="65">
        <f t="shared" si="29"/>
        <v>209</v>
      </c>
      <c r="B273" s="118" t="s">
        <v>9</v>
      </c>
      <c r="C273" s="262">
        <v>2014</v>
      </c>
      <c r="D273" s="261">
        <v>2500000</v>
      </c>
      <c r="E273" s="88">
        <v>187500</v>
      </c>
      <c r="F273" s="88">
        <f t="shared" si="30"/>
        <v>2687500</v>
      </c>
      <c r="G273" s="271">
        <v>44236683.129999995</v>
      </c>
      <c r="H273" s="271">
        <v>1613683.1300000001</v>
      </c>
      <c r="I273" s="88">
        <v>3196724.9999999995</v>
      </c>
      <c r="J273" s="88">
        <f t="shared" si="31"/>
        <v>25950.000000000466</v>
      </c>
      <c r="K273" s="260">
        <f t="shared" si="32"/>
        <v>-3230793.0799999996</v>
      </c>
    </row>
    <row r="274" spans="1:13" s="248" customFormat="1" x14ac:dyDescent="0.2">
      <c r="A274" s="65">
        <f t="shared" si="29"/>
        <v>210</v>
      </c>
      <c r="B274"/>
      <c r="C274" s="259" t="s">
        <v>343</v>
      </c>
      <c r="D274"/>
      <c r="E274"/>
      <c r="F274"/>
      <c r="G274"/>
      <c r="H274"/>
      <c r="I274" s="57"/>
      <c r="J274" s="57"/>
      <c r="K274" s="270">
        <f>AVERAGE(K261:K273)</f>
        <v>29961006.732307699</v>
      </c>
    </row>
    <row r="275" spans="1:13" s="248" customFormat="1" ht="12.75" customHeight="1" x14ac:dyDescent="0.2">
      <c r="A275" s="65"/>
      <c r="B275"/>
      <c r="C275" s="259"/>
      <c r="D275"/>
      <c r="E275"/>
      <c r="F275"/>
      <c r="G275"/>
      <c r="H275"/>
      <c r="I275"/>
      <c r="J275"/>
      <c r="K275" s="258"/>
    </row>
    <row r="276" spans="1:13" s="248" customFormat="1" x14ac:dyDescent="0.2">
      <c r="B276" s="269" t="s">
        <v>358</v>
      </c>
      <c r="D276" s="548" t="s">
        <v>357</v>
      </c>
      <c r="E276" s="548"/>
    </row>
    <row r="277" spans="1:13" s="248" customFormat="1" x14ac:dyDescent="0.2">
      <c r="D277" s="265"/>
      <c r="E277" s="264"/>
      <c r="F277" s="252"/>
      <c r="G277" s="255" t="str">
        <f>G51</f>
        <v>Unloaded</v>
      </c>
      <c r="H277" s="265"/>
      <c r="I277" s="264"/>
      <c r="J277" s="264"/>
      <c r="K277" s="264"/>
    </row>
    <row r="278" spans="1:13" s="248" customFormat="1" x14ac:dyDescent="0.2">
      <c r="A278" s="255"/>
      <c r="B278" s="255"/>
      <c r="C278" s="255"/>
      <c r="D278" s="255" t="str">
        <f>D$52</f>
        <v>Forecast</v>
      </c>
      <c r="E278" s="255" t="str">
        <f>E$52</f>
        <v>Corporate</v>
      </c>
      <c r="F278" s="255" t="str">
        <f>F$52</f>
        <v xml:space="preserve">Total </v>
      </c>
      <c r="G278" s="255" t="str">
        <f>G52</f>
        <v>Total</v>
      </c>
      <c r="H278" s="255" t="str">
        <f>H$52</f>
        <v>Prior Period</v>
      </c>
      <c r="I278" s="255" t="str">
        <f>I$52</f>
        <v>Over Heads</v>
      </c>
      <c r="J278" s="255" t="str">
        <f>J$52</f>
        <v>Forecast</v>
      </c>
      <c r="K278" s="60" t="str">
        <f>K$52</f>
        <v>Forecast Period</v>
      </c>
    </row>
    <row r="279" spans="1:13" s="248" customFormat="1" x14ac:dyDescent="0.2">
      <c r="A279" s="102" t="s">
        <v>170</v>
      </c>
      <c r="B279" s="128" t="s">
        <v>19</v>
      </c>
      <c r="C279" s="128" t="s">
        <v>20</v>
      </c>
      <c r="D279" s="263" t="str">
        <f>D$53</f>
        <v>Expenditures</v>
      </c>
      <c r="E279" s="263" t="str">
        <f>E$53</f>
        <v>Overheads</v>
      </c>
      <c r="F279" s="263" t="str">
        <f>F$53</f>
        <v>CWIP Exp</v>
      </c>
      <c r="G279" s="263" t="str">
        <f>G53</f>
        <v>Plant Adds</v>
      </c>
      <c r="H279" s="263" t="str">
        <f>H$53</f>
        <v>CWIP Closed</v>
      </c>
      <c r="I279" s="263" t="str">
        <f>I$53</f>
        <v>Closed to PIS</v>
      </c>
      <c r="J279" s="263" t="str">
        <f>J$53</f>
        <v>Period CWIP</v>
      </c>
      <c r="K279" s="263" t="str">
        <f>K$53</f>
        <v>Incremental CWIP</v>
      </c>
    </row>
    <row r="280" spans="1:13" s="248" customFormat="1" x14ac:dyDescent="0.2">
      <c r="A280" s="65">
        <f>A274+1</f>
        <v>211</v>
      </c>
      <c r="B280" s="130" t="s">
        <v>9</v>
      </c>
      <c r="C280" s="262">
        <v>2012</v>
      </c>
      <c r="D280" s="252" t="s">
        <v>344</v>
      </c>
      <c r="E280" s="252" t="s">
        <v>344</v>
      </c>
      <c r="F280" s="252" t="s">
        <v>344</v>
      </c>
      <c r="G280" s="252" t="s">
        <v>344</v>
      </c>
      <c r="H280" s="252" t="s">
        <v>344</v>
      </c>
      <c r="I280" s="252" t="s">
        <v>344</v>
      </c>
      <c r="J280" s="88">
        <f>E45</f>
        <v>47928159.539999999</v>
      </c>
      <c r="K280" s="252" t="s">
        <v>344</v>
      </c>
    </row>
    <row r="281" spans="1:13" s="248" customFormat="1" x14ac:dyDescent="0.2">
      <c r="A281" s="65">
        <f t="shared" ref="A281:A305" si="33">A280+1</f>
        <v>212</v>
      </c>
      <c r="B281" s="130" t="s">
        <v>10</v>
      </c>
      <c r="C281" s="262">
        <v>2013</v>
      </c>
      <c r="D281" s="261">
        <v>3162413</v>
      </c>
      <c r="E281" s="88">
        <v>237180.97499999998</v>
      </c>
      <c r="F281" s="88">
        <f t="shared" ref="F281:F304" si="34">E281+D281</f>
        <v>3399593.9750000001</v>
      </c>
      <c r="G281" s="261">
        <v>0</v>
      </c>
      <c r="H281" s="261">
        <v>0</v>
      </c>
      <c r="I281" s="88">
        <v>0</v>
      </c>
      <c r="J281" s="88">
        <f t="shared" ref="J281:J304" si="35">J280+F281-G281-I281</f>
        <v>51327753.515000001</v>
      </c>
      <c r="K281" s="88">
        <f t="shared" ref="K281:K304" si="36">J281-$J$280</f>
        <v>3399593.9750000015</v>
      </c>
    </row>
    <row r="282" spans="1:13" s="248" customFormat="1" x14ac:dyDescent="0.2">
      <c r="A282" s="65">
        <f t="shared" si="33"/>
        <v>213</v>
      </c>
      <c r="B282" s="118" t="s">
        <v>11</v>
      </c>
      <c r="C282" s="262">
        <v>2013</v>
      </c>
      <c r="D282" s="261">
        <v>3299225</v>
      </c>
      <c r="E282" s="88">
        <v>247441.875</v>
      </c>
      <c r="F282" s="88">
        <f t="shared" si="34"/>
        <v>3546666.875</v>
      </c>
      <c r="G282" s="261">
        <v>0</v>
      </c>
      <c r="H282" s="261">
        <v>0</v>
      </c>
      <c r="I282" s="88">
        <v>0</v>
      </c>
      <c r="J282" s="88">
        <f t="shared" si="35"/>
        <v>54874420.390000001</v>
      </c>
      <c r="K282" s="88">
        <f t="shared" si="36"/>
        <v>6946260.8500000015</v>
      </c>
    </row>
    <row r="283" spans="1:13" s="248" customFormat="1" x14ac:dyDescent="0.2">
      <c r="A283" s="65">
        <f t="shared" si="33"/>
        <v>214</v>
      </c>
      <c r="B283" s="118" t="s">
        <v>21</v>
      </c>
      <c r="C283" s="262">
        <v>2013</v>
      </c>
      <c r="D283" s="261">
        <v>4621214</v>
      </c>
      <c r="E283" s="88">
        <v>346591.05</v>
      </c>
      <c r="F283" s="88">
        <f t="shared" si="34"/>
        <v>4967805.05</v>
      </c>
      <c r="G283" s="261">
        <v>0</v>
      </c>
      <c r="H283" s="261">
        <v>0</v>
      </c>
      <c r="I283" s="88">
        <v>0</v>
      </c>
      <c r="J283" s="88">
        <f t="shared" si="35"/>
        <v>59842225.439999998</v>
      </c>
      <c r="K283" s="88">
        <f t="shared" si="36"/>
        <v>11914065.899999999</v>
      </c>
    </row>
    <row r="284" spans="1:13" s="248" customFormat="1" x14ac:dyDescent="0.2">
      <c r="A284" s="65">
        <f t="shared" si="33"/>
        <v>215</v>
      </c>
      <c r="B284" s="130" t="s">
        <v>12</v>
      </c>
      <c r="C284" s="262">
        <v>2013</v>
      </c>
      <c r="D284" s="261">
        <v>2773882</v>
      </c>
      <c r="E284" s="88">
        <v>208041.15</v>
      </c>
      <c r="F284" s="88">
        <f t="shared" si="34"/>
        <v>2981923.15</v>
      </c>
      <c r="G284" s="261">
        <v>0</v>
      </c>
      <c r="H284" s="261">
        <v>0</v>
      </c>
      <c r="I284" s="88">
        <v>0</v>
      </c>
      <c r="J284" s="88">
        <f t="shared" si="35"/>
        <v>62824148.589999996</v>
      </c>
      <c r="K284" s="88">
        <f t="shared" si="36"/>
        <v>14895989.049999997</v>
      </c>
    </row>
    <row r="285" spans="1:13" s="248" customFormat="1" x14ac:dyDescent="0.2">
      <c r="A285" s="65">
        <f t="shared" si="33"/>
        <v>216</v>
      </c>
      <c r="B285" s="118" t="s">
        <v>13</v>
      </c>
      <c r="C285" s="262">
        <v>2013</v>
      </c>
      <c r="D285" s="261">
        <v>3341382</v>
      </c>
      <c r="E285" s="88">
        <v>250603.65</v>
      </c>
      <c r="F285" s="88">
        <f t="shared" si="34"/>
        <v>3591985.65</v>
      </c>
      <c r="G285" s="261">
        <v>0</v>
      </c>
      <c r="H285" s="261">
        <v>0</v>
      </c>
      <c r="I285" s="88">
        <v>0</v>
      </c>
      <c r="J285" s="88">
        <f t="shared" si="35"/>
        <v>66416134.239999995</v>
      </c>
      <c r="K285" s="88">
        <f t="shared" si="36"/>
        <v>18487974.699999996</v>
      </c>
      <c r="L285" s="255"/>
      <c r="M285" s="255"/>
    </row>
    <row r="286" spans="1:13" s="248" customFormat="1" x14ac:dyDescent="0.2">
      <c r="A286" s="65">
        <f t="shared" si="33"/>
        <v>217</v>
      </c>
      <c r="B286" s="118" t="s">
        <v>28</v>
      </c>
      <c r="C286" s="262">
        <v>2013</v>
      </c>
      <c r="D286" s="261">
        <v>3280961</v>
      </c>
      <c r="E286" s="88">
        <v>246072.07499999998</v>
      </c>
      <c r="F286" s="88">
        <f t="shared" si="34"/>
        <v>3527033.0750000002</v>
      </c>
      <c r="G286" s="261">
        <v>0</v>
      </c>
      <c r="H286" s="261">
        <v>0</v>
      </c>
      <c r="I286" s="88">
        <v>0</v>
      </c>
      <c r="J286" s="88">
        <f t="shared" si="35"/>
        <v>69943167.314999998</v>
      </c>
      <c r="K286" s="88">
        <f t="shared" si="36"/>
        <v>22015007.774999999</v>
      </c>
      <c r="L286" s="263"/>
      <c r="M286" s="263"/>
    </row>
    <row r="287" spans="1:13" s="248" customFormat="1" x14ac:dyDescent="0.2">
      <c r="A287" s="65">
        <f t="shared" si="33"/>
        <v>218</v>
      </c>
      <c r="B287" s="130" t="s">
        <v>14</v>
      </c>
      <c r="C287" s="262">
        <v>2013</v>
      </c>
      <c r="D287" s="261">
        <v>1526987</v>
      </c>
      <c r="E287" s="88">
        <v>114524.02499999999</v>
      </c>
      <c r="F287" s="88">
        <f t="shared" si="34"/>
        <v>1641511.0249999999</v>
      </c>
      <c r="G287" s="271">
        <v>70020335.539999992</v>
      </c>
      <c r="H287" s="271">
        <v>48014271.539999992</v>
      </c>
      <c r="I287" s="88">
        <v>1650454.8</v>
      </c>
      <c r="J287" s="88">
        <f t="shared" si="35"/>
        <v>-86111.999999988126</v>
      </c>
      <c r="K287" s="88">
        <f t="shared" si="36"/>
        <v>-48014271.539999984</v>
      </c>
    </row>
    <row r="288" spans="1:13" s="248" customFormat="1" x14ac:dyDescent="0.2">
      <c r="A288" s="65">
        <f t="shared" si="33"/>
        <v>219</v>
      </c>
      <c r="B288" s="118" t="s">
        <v>15</v>
      </c>
      <c r="C288" s="262">
        <v>2013</v>
      </c>
      <c r="D288" s="261">
        <v>1003387</v>
      </c>
      <c r="E288" s="88">
        <v>75254.024999999994</v>
      </c>
      <c r="F288" s="88">
        <f t="shared" si="34"/>
        <v>1078641.0249999999</v>
      </c>
      <c r="G288" s="261">
        <v>1003387</v>
      </c>
      <c r="H288" s="271">
        <v>0</v>
      </c>
      <c r="I288" s="88">
        <v>75254.024999999994</v>
      </c>
      <c r="J288" s="88">
        <f t="shared" si="35"/>
        <v>-86111.999999988213</v>
      </c>
      <c r="K288" s="88">
        <f t="shared" si="36"/>
        <v>-48014271.539999984</v>
      </c>
    </row>
    <row r="289" spans="1:11" s="248" customFormat="1" x14ac:dyDescent="0.2">
      <c r="A289" s="65">
        <f t="shared" si="33"/>
        <v>220</v>
      </c>
      <c r="B289" s="118" t="s">
        <v>16</v>
      </c>
      <c r="C289" s="262">
        <v>2013</v>
      </c>
      <c r="D289" s="261">
        <v>336235</v>
      </c>
      <c r="E289" s="88">
        <v>25217.625</v>
      </c>
      <c r="F289" s="88">
        <f t="shared" si="34"/>
        <v>361452.625</v>
      </c>
      <c r="G289" s="261">
        <v>336235</v>
      </c>
      <c r="H289" s="261">
        <v>0</v>
      </c>
      <c r="I289" s="88">
        <v>25217.625</v>
      </c>
      <c r="J289" s="88">
        <f t="shared" si="35"/>
        <v>-86111.999999988242</v>
      </c>
      <c r="K289" s="88">
        <f t="shared" si="36"/>
        <v>-48014271.539999984</v>
      </c>
    </row>
    <row r="290" spans="1:11" s="248" customFormat="1" x14ac:dyDescent="0.2">
      <c r="A290" s="65">
        <f t="shared" si="33"/>
        <v>221</v>
      </c>
      <c r="B290" s="130" t="s">
        <v>18</v>
      </c>
      <c r="C290" s="262">
        <v>2013</v>
      </c>
      <c r="D290" s="261">
        <v>322674</v>
      </c>
      <c r="E290" s="88">
        <v>24200.55</v>
      </c>
      <c r="F290" s="88">
        <f t="shared" si="34"/>
        <v>346874.55</v>
      </c>
      <c r="G290" s="261">
        <v>322674</v>
      </c>
      <c r="H290" s="261">
        <v>0</v>
      </c>
      <c r="I290" s="88">
        <v>24200.55</v>
      </c>
      <c r="J290" s="88">
        <f t="shared" si="35"/>
        <v>-86111.999999988257</v>
      </c>
      <c r="K290" s="88">
        <f t="shared" si="36"/>
        <v>-48014271.539999984</v>
      </c>
    </row>
    <row r="291" spans="1:11" s="248" customFormat="1" x14ac:dyDescent="0.2">
      <c r="A291" s="65">
        <f t="shared" si="33"/>
        <v>222</v>
      </c>
      <c r="B291" s="130" t="s">
        <v>17</v>
      </c>
      <c r="C291" s="262">
        <v>2013</v>
      </c>
      <c r="D291" s="261">
        <v>300000</v>
      </c>
      <c r="E291" s="88">
        <v>22500</v>
      </c>
      <c r="F291" s="88">
        <f t="shared" si="34"/>
        <v>322500</v>
      </c>
      <c r="G291" s="261">
        <v>300000</v>
      </c>
      <c r="H291" s="261">
        <v>0</v>
      </c>
      <c r="I291" s="88">
        <v>22500</v>
      </c>
      <c r="J291" s="88">
        <f t="shared" si="35"/>
        <v>-86111.999999988242</v>
      </c>
      <c r="K291" s="88">
        <f t="shared" si="36"/>
        <v>-48014271.539999984</v>
      </c>
    </row>
    <row r="292" spans="1:11" s="248" customFormat="1" x14ac:dyDescent="0.2">
      <c r="A292" s="65">
        <f t="shared" si="33"/>
        <v>223</v>
      </c>
      <c r="B292" s="130" t="s">
        <v>9</v>
      </c>
      <c r="C292" s="262">
        <v>2013</v>
      </c>
      <c r="D292" s="261">
        <v>1698420</v>
      </c>
      <c r="E292" s="88">
        <v>127381.5</v>
      </c>
      <c r="F292" s="88">
        <f t="shared" si="34"/>
        <v>1825801.5</v>
      </c>
      <c r="G292" s="261">
        <v>1698420</v>
      </c>
      <c r="H292" s="261">
        <v>0</v>
      </c>
      <c r="I292" s="88">
        <v>127381.5</v>
      </c>
      <c r="J292" s="88">
        <f t="shared" si="35"/>
        <v>-86111.999999988358</v>
      </c>
      <c r="K292" s="88">
        <f t="shared" si="36"/>
        <v>-48014271.539999984</v>
      </c>
    </row>
    <row r="293" spans="1:11" s="248" customFormat="1" x14ac:dyDescent="0.2">
      <c r="A293" s="65">
        <f t="shared" si="33"/>
        <v>224</v>
      </c>
      <c r="B293" s="130" t="s">
        <v>10</v>
      </c>
      <c r="C293" s="262">
        <v>2014</v>
      </c>
      <c r="D293" s="261">
        <v>108211</v>
      </c>
      <c r="E293" s="88">
        <v>8115.8249999999998</v>
      </c>
      <c r="F293" s="88">
        <f t="shared" si="34"/>
        <v>116326.825</v>
      </c>
      <c r="G293" s="261">
        <v>108211</v>
      </c>
      <c r="H293" s="261">
        <v>0</v>
      </c>
      <c r="I293" s="88">
        <v>8115.8249999999998</v>
      </c>
      <c r="J293" s="88">
        <f t="shared" si="35"/>
        <v>-86111.999999988358</v>
      </c>
      <c r="K293" s="88">
        <f t="shared" si="36"/>
        <v>-48014271.539999984</v>
      </c>
    </row>
    <row r="294" spans="1:11" s="248" customFormat="1" x14ac:dyDescent="0.2">
      <c r="A294" s="65">
        <f t="shared" si="33"/>
        <v>225</v>
      </c>
      <c r="B294" s="118" t="s">
        <v>11</v>
      </c>
      <c r="C294" s="262">
        <v>2014</v>
      </c>
      <c r="D294" s="261">
        <v>108211</v>
      </c>
      <c r="E294" s="88">
        <v>8115.8249999999998</v>
      </c>
      <c r="F294" s="88">
        <f t="shared" si="34"/>
        <v>116326.825</v>
      </c>
      <c r="G294" s="261">
        <v>108211</v>
      </c>
      <c r="H294" s="261">
        <v>0</v>
      </c>
      <c r="I294" s="88">
        <v>8115.8249999999998</v>
      </c>
      <c r="J294" s="88">
        <f t="shared" si="35"/>
        <v>-86111.999999988358</v>
      </c>
      <c r="K294" s="88">
        <f t="shared" si="36"/>
        <v>-48014271.539999984</v>
      </c>
    </row>
    <row r="295" spans="1:11" s="248" customFormat="1" x14ac:dyDescent="0.2">
      <c r="A295" s="65">
        <f t="shared" si="33"/>
        <v>226</v>
      </c>
      <c r="B295" s="118" t="s">
        <v>21</v>
      </c>
      <c r="C295" s="262">
        <v>2014</v>
      </c>
      <c r="D295" s="261">
        <v>108211</v>
      </c>
      <c r="E295" s="88">
        <v>8115.8249999999998</v>
      </c>
      <c r="F295" s="88">
        <f t="shared" si="34"/>
        <v>116326.825</v>
      </c>
      <c r="G295" s="261">
        <v>108211</v>
      </c>
      <c r="H295" s="261">
        <v>0</v>
      </c>
      <c r="I295" s="88">
        <v>8115.8249999999998</v>
      </c>
      <c r="J295" s="88">
        <f t="shared" si="35"/>
        <v>-86111.999999988358</v>
      </c>
      <c r="K295" s="88">
        <f t="shared" si="36"/>
        <v>-48014271.539999984</v>
      </c>
    </row>
    <row r="296" spans="1:11" s="248" customFormat="1" x14ac:dyDescent="0.2">
      <c r="A296" s="65">
        <f t="shared" si="33"/>
        <v>227</v>
      </c>
      <c r="B296" s="130" t="s">
        <v>12</v>
      </c>
      <c r="C296" s="262">
        <v>2014</v>
      </c>
      <c r="D296" s="261">
        <v>108211</v>
      </c>
      <c r="E296" s="88">
        <v>8115.8249999999998</v>
      </c>
      <c r="F296" s="88">
        <f t="shared" si="34"/>
        <v>116326.825</v>
      </c>
      <c r="G296" s="261">
        <v>108211</v>
      </c>
      <c r="H296" s="261">
        <v>0</v>
      </c>
      <c r="I296" s="88">
        <v>8115.8249999999998</v>
      </c>
      <c r="J296" s="88">
        <f t="shared" si="35"/>
        <v>-86111.999999988358</v>
      </c>
      <c r="K296" s="88">
        <f t="shared" si="36"/>
        <v>-48014271.539999984</v>
      </c>
    </row>
    <row r="297" spans="1:11" s="248" customFormat="1" x14ac:dyDescent="0.2">
      <c r="A297" s="65">
        <f t="shared" si="33"/>
        <v>228</v>
      </c>
      <c r="B297" s="118" t="s">
        <v>13</v>
      </c>
      <c r="C297" s="262">
        <v>2014</v>
      </c>
      <c r="D297" s="261">
        <v>108211</v>
      </c>
      <c r="E297" s="88">
        <v>8115.8249999999998</v>
      </c>
      <c r="F297" s="88">
        <f t="shared" si="34"/>
        <v>116326.825</v>
      </c>
      <c r="G297" s="261">
        <v>108211</v>
      </c>
      <c r="H297" s="261">
        <v>0</v>
      </c>
      <c r="I297" s="88">
        <v>8115.8249999999998</v>
      </c>
      <c r="J297" s="88">
        <f t="shared" si="35"/>
        <v>-86111.999999988358</v>
      </c>
      <c r="K297" s="88">
        <f t="shared" si="36"/>
        <v>-48014271.539999984</v>
      </c>
    </row>
    <row r="298" spans="1:11" s="248" customFormat="1" x14ac:dyDescent="0.2">
      <c r="A298" s="65">
        <f t="shared" si="33"/>
        <v>229</v>
      </c>
      <c r="B298" s="118" t="s">
        <v>28</v>
      </c>
      <c r="C298" s="262">
        <v>2014</v>
      </c>
      <c r="D298" s="261">
        <v>108211</v>
      </c>
      <c r="E298" s="88">
        <v>8115.8249999999998</v>
      </c>
      <c r="F298" s="88">
        <f t="shared" si="34"/>
        <v>116326.825</v>
      </c>
      <c r="G298" s="261">
        <v>108211</v>
      </c>
      <c r="H298" s="261">
        <v>0</v>
      </c>
      <c r="I298" s="88">
        <v>8115.8249999999998</v>
      </c>
      <c r="J298" s="88">
        <f t="shared" si="35"/>
        <v>-86111.999999988358</v>
      </c>
      <c r="K298" s="88">
        <f t="shared" si="36"/>
        <v>-48014271.539999984</v>
      </c>
    </row>
    <row r="299" spans="1:11" s="248" customFormat="1" x14ac:dyDescent="0.2">
      <c r="A299" s="65">
        <f t="shared" si="33"/>
        <v>230</v>
      </c>
      <c r="B299" s="130" t="s">
        <v>14</v>
      </c>
      <c r="C299" s="262">
        <v>2014</v>
      </c>
      <c r="D299" s="261">
        <v>0</v>
      </c>
      <c r="E299" s="88">
        <v>0</v>
      </c>
      <c r="F299" s="88">
        <f t="shared" si="34"/>
        <v>0</v>
      </c>
      <c r="G299" s="261">
        <v>0</v>
      </c>
      <c r="H299" s="261">
        <v>0</v>
      </c>
      <c r="I299" s="88">
        <v>0</v>
      </c>
      <c r="J299" s="88">
        <f t="shared" si="35"/>
        <v>-86111.999999988358</v>
      </c>
      <c r="K299" s="88">
        <f t="shared" si="36"/>
        <v>-48014271.539999984</v>
      </c>
    </row>
    <row r="300" spans="1:11" s="248" customFormat="1" x14ac:dyDescent="0.2">
      <c r="A300" s="65">
        <f t="shared" si="33"/>
        <v>231</v>
      </c>
      <c r="B300" s="118" t="s">
        <v>15</v>
      </c>
      <c r="C300" s="262">
        <v>2014</v>
      </c>
      <c r="D300" s="261">
        <v>0</v>
      </c>
      <c r="E300" s="88">
        <v>0</v>
      </c>
      <c r="F300" s="88">
        <f t="shared" si="34"/>
        <v>0</v>
      </c>
      <c r="G300" s="261">
        <v>0</v>
      </c>
      <c r="H300" s="261">
        <v>0</v>
      </c>
      <c r="I300" s="88">
        <v>0</v>
      </c>
      <c r="J300" s="88">
        <f t="shared" si="35"/>
        <v>-86111.999999988358</v>
      </c>
      <c r="K300" s="88">
        <f t="shared" si="36"/>
        <v>-48014271.539999984</v>
      </c>
    </row>
    <row r="301" spans="1:11" s="248" customFormat="1" x14ac:dyDescent="0.2">
      <c r="A301" s="65">
        <f t="shared" si="33"/>
        <v>232</v>
      </c>
      <c r="B301" s="118" t="s">
        <v>16</v>
      </c>
      <c r="C301" s="262">
        <v>2014</v>
      </c>
      <c r="D301" s="261">
        <v>0</v>
      </c>
      <c r="E301" s="88">
        <v>0</v>
      </c>
      <c r="F301" s="88">
        <f t="shared" si="34"/>
        <v>0</v>
      </c>
      <c r="G301" s="261">
        <v>0</v>
      </c>
      <c r="H301" s="261">
        <v>0</v>
      </c>
      <c r="I301" s="88">
        <v>0</v>
      </c>
      <c r="J301" s="88">
        <f t="shared" si="35"/>
        <v>-86111.999999988358</v>
      </c>
      <c r="K301" s="88">
        <f t="shared" si="36"/>
        <v>-48014271.539999984</v>
      </c>
    </row>
    <row r="302" spans="1:11" s="248" customFormat="1" x14ac:dyDescent="0.2">
      <c r="A302" s="65">
        <f t="shared" si="33"/>
        <v>233</v>
      </c>
      <c r="B302" s="118" t="s">
        <v>18</v>
      </c>
      <c r="C302" s="262">
        <v>2014</v>
      </c>
      <c r="D302" s="261">
        <v>0</v>
      </c>
      <c r="E302" s="88">
        <v>0</v>
      </c>
      <c r="F302" s="88">
        <f t="shared" si="34"/>
        <v>0</v>
      </c>
      <c r="G302" s="261">
        <v>0</v>
      </c>
      <c r="H302" s="261">
        <v>0</v>
      </c>
      <c r="I302" s="88">
        <v>0</v>
      </c>
      <c r="J302" s="88">
        <f t="shared" si="35"/>
        <v>-86111.999999988358</v>
      </c>
      <c r="K302" s="88">
        <f t="shared" si="36"/>
        <v>-48014271.539999984</v>
      </c>
    </row>
    <row r="303" spans="1:11" s="248" customFormat="1" x14ac:dyDescent="0.2">
      <c r="A303" s="65">
        <f t="shared" si="33"/>
        <v>234</v>
      </c>
      <c r="B303" s="118" t="s">
        <v>17</v>
      </c>
      <c r="C303" s="262">
        <v>2014</v>
      </c>
      <c r="D303" s="261">
        <v>0</v>
      </c>
      <c r="E303" s="88">
        <v>0</v>
      </c>
      <c r="F303" s="88">
        <f t="shared" si="34"/>
        <v>0</v>
      </c>
      <c r="G303" s="261">
        <v>0</v>
      </c>
      <c r="H303" s="261">
        <v>0</v>
      </c>
      <c r="I303" s="88">
        <v>0</v>
      </c>
      <c r="J303" s="88">
        <f t="shared" si="35"/>
        <v>-86111.999999988358</v>
      </c>
      <c r="K303" s="88">
        <f t="shared" si="36"/>
        <v>-48014271.539999984</v>
      </c>
    </row>
    <row r="304" spans="1:11" s="248" customFormat="1" x14ac:dyDescent="0.2">
      <c r="A304" s="65">
        <f t="shared" si="33"/>
        <v>235</v>
      </c>
      <c r="B304" s="118" t="s">
        <v>9</v>
      </c>
      <c r="C304" s="262">
        <v>2014</v>
      </c>
      <c r="D304" s="261">
        <v>0</v>
      </c>
      <c r="E304" s="88">
        <v>0</v>
      </c>
      <c r="F304" s="88">
        <f t="shared" si="34"/>
        <v>0</v>
      </c>
      <c r="G304" s="261">
        <v>0</v>
      </c>
      <c r="H304" s="261">
        <v>0</v>
      </c>
      <c r="I304" s="88">
        <v>0</v>
      </c>
      <c r="J304" s="88">
        <f t="shared" si="35"/>
        <v>-86111.999999988358</v>
      </c>
      <c r="K304" s="260">
        <f t="shared" si="36"/>
        <v>-48014271.539999984</v>
      </c>
    </row>
    <row r="305" spans="1:12" s="248" customFormat="1" x14ac:dyDescent="0.2">
      <c r="A305" s="65">
        <f t="shared" si="33"/>
        <v>236</v>
      </c>
      <c r="B305"/>
      <c r="C305" s="259" t="s">
        <v>343</v>
      </c>
      <c r="D305"/>
      <c r="E305"/>
      <c r="F305"/>
      <c r="G305"/>
      <c r="H305"/>
      <c r="I305"/>
      <c r="J305" s="57"/>
      <c r="K305" s="270">
        <f>AVERAGE(K292:K304)</f>
        <v>-48014271.539999969</v>
      </c>
    </row>
    <row r="306" spans="1:12" s="248" customFormat="1" x14ac:dyDescent="0.2">
      <c r="A306" s="65"/>
      <c r="B306"/>
      <c r="C306" s="259"/>
      <c r="D306"/>
      <c r="E306"/>
      <c r="F306"/>
      <c r="G306"/>
      <c r="H306"/>
      <c r="I306"/>
      <c r="J306"/>
      <c r="K306" s="258"/>
    </row>
    <row r="307" spans="1:12" s="248" customFormat="1" x14ac:dyDescent="0.2">
      <c r="B307" s="269" t="s">
        <v>356</v>
      </c>
      <c r="D307" s="548" t="s">
        <v>355</v>
      </c>
      <c r="E307" s="548"/>
    </row>
    <row r="308" spans="1:12" s="248" customFormat="1" x14ac:dyDescent="0.2">
      <c r="A308" s="263"/>
      <c r="B308" s="263"/>
      <c r="C308" s="263"/>
      <c r="D308" s="263" t="s">
        <v>167</v>
      </c>
      <c r="E308" s="263" t="s">
        <v>168</v>
      </c>
      <c r="F308" s="263" t="s">
        <v>184</v>
      </c>
      <c r="G308" s="263" t="s">
        <v>185</v>
      </c>
      <c r="H308" s="263" t="s">
        <v>186</v>
      </c>
      <c r="I308" s="263" t="s">
        <v>187</v>
      </c>
      <c r="J308" s="263" t="s">
        <v>188</v>
      </c>
      <c r="K308" s="263" t="s">
        <v>350</v>
      </c>
    </row>
    <row r="309" spans="1:12" s="248" customFormat="1" ht="38.25" x14ac:dyDescent="0.2">
      <c r="D309" s="265"/>
      <c r="E309" s="264" t="s">
        <v>349</v>
      </c>
      <c r="F309" s="252" t="s">
        <v>348</v>
      </c>
      <c r="G309" s="266"/>
      <c r="H309" s="265"/>
      <c r="I309" s="264" t="s">
        <v>347</v>
      </c>
      <c r="J309" s="264" t="s">
        <v>346</v>
      </c>
      <c r="K309" s="264" t="s">
        <v>345</v>
      </c>
    </row>
    <row r="310" spans="1:12" s="248" customFormat="1" x14ac:dyDescent="0.2">
      <c r="D310" s="265"/>
      <c r="E310" s="265"/>
      <c r="F310" s="265"/>
      <c r="G310" s="60" t="str">
        <f>G51</f>
        <v>Unloaded</v>
      </c>
      <c r="H310" s="265"/>
      <c r="I310" s="265"/>
    </row>
    <row r="311" spans="1:12" s="248" customFormat="1" x14ac:dyDescent="0.2">
      <c r="A311" s="255"/>
      <c r="B311" s="255"/>
      <c r="C311" s="255"/>
      <c r="D311" s="255" t="str">
        <f>D$52</f>
        <v>Forecast</v>
      </c>
      <c r="E311" s="255" t="str">
        <f>E$52</f>
        <v>Corporate</v>
      </c>
      <c r="F311" s="255" t="str">
        <f>F$52</f>
        <v xml:space="preserve">Total </v>
      </c>
      <c r="G311" s="60" t="str">
        <f>G52</f>
        <v>Total</v>
      </c>
      <c r="H311" s="255" t="str">
        <f>H$52</f>
        <v>Prior Period</v>
      </c>
      <c r="I311" s="255" t="str">
        <f>I$52</f>
        <v>Over Heads</v>
      </c>
      <c r="J311" s="255" t="str">
        <f>J$52</f>
        <v>Forecast</v>
      </c>
      <c r="K311" s="60" t="str">
        <f>K$52</f>
        <v>Forecast Period</v>
      </c>
    </row>
    <row r="312" spans="1:12" s="248" customFormat="1" x14ac:dyDescent="0.2">
      <c r="A312" s="102" t="s">
        <v>170</v>
      </c>
      <c r="B312" s="128" t="s">
        <v>19</v>
      </c>
      <c r="C312" s="128" t="s">
        <v>20</v>
      </c>
      <c r="D312" s="263" t="str">
        <f>D$53</f>
        <v>Expenditures</v>
      </c>
      <c r="E312" s="263" t="str">
        <f>E$53</f>
        <v>Overheads</v>
      </c>
      <c r="F312" s="263" t="str">
        <f>F$53</f>
        <v>CWIP Exp</v>
      </c>
      <c r="G312" s="64" t="str">
        <f>G53</f>
        <v>Plant Adds</v>
      </c>
      <c r="H312" s="263" t="str">
        <f>H$53</f>
        <v>CWIP Closed</v>
      </c>
      <c r="I312" s="263" t="str">
        <f>I$53</f>
        <v>Closed to PIS</v>
      </c>
      <c r="J312" s="263" t="str">
        <f>J$53</f>
        <v>Period CWIP</v>
      </c>
      <c r="K312" s="263" t="str">
        <f>K$53</f>
        <v>Incremental CWIP</v>
      </c>
    </row>
    <row r="313" spans="1:12" s="248" customFormat="1" x14ac:dyDescent="0.2">
      <c r="A313" s="65">
        <f>A305+1</f>
        <v>237</v>
      </c>
      <c r="B313" s="130" t="s">
        <v>9</v>
      </c>
      <c r="C313" s="262">
        <v>2012</v>
      </c>
      <c r="D313" s="252" t="s">
        <v>344</v>
      </c>
      <c r="E313" s="252" t="s">
        <v>344</v>
      </c>
      <c r="F313" s="252" t="s">
        <v>344</v>
      </c>
      <c r="G313" s="252" t="s">
        <v>344</v>
      </c>
      <c r="H313" s="252" t="s">
        <v>344</v>
      </c>
      <c r="I313" s="252" t="s">
        <v>344</v>
      </c>
      <c r="J313" s="88">
        <f>F45</f>
        <v>10360459.710000001</v>
      </c>
      <c r="K313" s="252" t="s">
        <v>344</v>
      </c>
    </row>
    <row r="314" spans="1:12" s="248" customFormat="1" x14ac:dyDescent="0.2">
      <c r="A314" s="65">
        <f t="shared" ref="A314:A338" si="37">A313+1</f>
        <v>238</v>
      </c>
      <c r="B314" s="130" t="s">
        <v>10</v>
      </c>
      <c r="C314" s="262">
        <v>2013</v>
      </c>
      <c r="D314" s="261">
        <v>1276239.78</v>
      </c>
      <c r="E314" s="88">
        <v>95717.983500000002</v>
      </c>
      <c r="F314" s="88">
        <f t="shared" ref="F314:F337" si="38">E314+D314</f>
        <v>1371957.7635000001</v>
      </c>
      <c r="G314" s="261">
        <v>0</v>
      </c>
      <c r="H314" s="261">
        <v>0</v>
      </c>
      <c r="I314" s="88">
        <v>0</v>
      </c>
      <c r="J314" s="88">
        <f t="shared" ref="J314:J337" si="39">J313+F314-G314-I314</f>
        <v>11732417.4735</v>
      </c>
      <c r="K314" s="88">
        <f t="shared" ref="K314:K337" si="40">J314-$J$313</f>
        <v>1371957.7634999994</v>
      </c>
      <c r="L314" s="255"/>
    </row>
    <row r="315" spans="1:12" s="248" customFormat="1" x14ac:dyDescent="0.2">
      <c r="A315" s="65">
        <f t="shared" si="37"/>
        <v>239</v>
      </c>
      <c r="B315" s="118" t="s">
        <v>11</v>
      </c>
      <c r="C315" s="262">
        <v>2013</v>
      </c>
      <c r="D315" s="261">
        <v>745520.67</v>
      </c>
      <c r="E315" s="88">
        <v>55914.05025</v>
      </c>
      <c r="F315" s="88">
        <f t="shared" si="38"/>
        <v>801434.72025000001</v>
      </c>
      <c r="G315" s="261">
        <v>0</v>
      </c>
      <c r="H315" s="261">
        <v>0</v>
      </c>
      <c r="I315" s="88">
        <v>0</v>
      </c>
      <c r="J315" s="88">
        <f t="shared" si="39"/>
        <v>12533852.19375</v>
      </c>
      <c r="K315" s="88">
        <f t="shared" si="40"/>
        <v>2173392.4837499987</v>
      </c>
      <c r="L315" s="255"/>
    </row>
    <row r="316" spans="1:12" s="248" customFormat="1" x14ac:dyDescent="0.2">
      <c r="A316" s="65">
        <f t="shared" si="37"/>
        <v>240</v>
      </c>
      <c r="B316" s="118" t="s">
        <v>21</v>
      </c>
      <c r="C316" s="262">
        <v>2013</v>
      </c>
      <c r="D316" s="261">
        <v>785803.62999999966</v>
      </c>
      <c r="E316" s="88">
        <v>58935.272249999973</v>
      </c>
      <c r="F316" s="88">
        <f t="shared" si="38"/>
        <v>844738.90224999958</v>
      </c>
      <c r="G316" s="261">
        <v>0</v>
      </c>
      <c r="H316" s="261">
        <v>0</v>
      </c>
      <c r="I316" s="88">
        <v>0</v>
      </c>
      <c r="J316" s="88">
        <f t="shared" si="39"/>
        <v>13378591.095999999</v>
      </c>
      <c r="K316" s="88">
        <f t="shared" si="40"/>
        <v>3018131.3859999981</v>
      </c>
      <c r="L316" s="255"/>
    </row>
    <row r="317" spans="1:12" s="248" customFormat="1" x14ac:dyDescent="0.2">
      <c r="A317" s="65">
        <f t="shared" si="37"/>
        <v>241</v>
      </c>
      <c r="B317" s="130" t="s">
        <v>12</v>
      </c>
      <c r="C317" s="262">
        <v>2013</v>
      </c>
      <c r="D317" s="261">
        <v>1284184</v>
      </c>
      <c r="E317" s="88">
        <v>96313.8</v>
      </c>
      <c r="F317" s="88">
        <f t="shared" si="38"/>
        <v>1380497.8</v>
      </c>
      <c r="G317" s="261">
        <v>0</v>
      </c>
      <c r="H317" s="261">
        <v>0</v>
      </c>
      <c r="I317" s="88">
        <v>0</v>
      </c>
      <c r="J317" s="88">
        <f t="shared" si="39"/>
        <v>14759088.896</v>
      </c>
      <c r="K317" s="88">
        <f t="shared" si="40"/>
        <v>4398629.1859999988</v>
      </c>
      <c r="L317" s="263"/>
    </row>
    <row r="318" spans="1:12" s="248" customFormat="1" x14ac:dyDescent="0.2">
      <c r="A318" s="65">
        <f t="shared" si="37"/>
        <v>242</v>
      </c>
      <c r="B318" s="118" t="s">
        <v>13</v>
      </c>
      <c r="C318" s="262">
        <v>2013</v>
      </c>
      <c r="D318" s="261">
        <v>1174175</v>
      </c>
      <c r="E318" s="88">
        <v>88063.125</v>
      </c>
      <c r="F318" s="88">
        <f t="shared" si="38"/>
        <v>1262238.125</v>
      </c>
      <c r="G318" s="261">
        <v>0</v>
      </c>
      <c r="H318" s="261">
        <v>0</v>
      </c>
      <c r="I318" s="88">
        <v>0</v>
      </c>
      <c r="J318" s="88">
        <f t="shared" si="39"/>
        <v>16021327.021</v>
      </c>
      <c r="K318" s="88">
        <f t="shared" si="40"/>
        <v>5660867.3109999988</v>
      </c>
    </row>
    <row r="319" spans="1:12" s="248" customFormat="1" x14ac:dyDescent="0.2">
      <c r="A319" s="65">
        <f t="shared" si="37"/>
        <v>243</v>
      </c>
      <c r="B319" s="118" t="s">
        <v>28</v>
      </c>
      <c r="C319" s="262">
        <v>2013</v>
      </c>
      <c r="D319" s="261">
        <v>1182689.2857142857</v>
      </c>
      <c r="E319" s="88">
        <v>88701.69642857142</v>
      </c>
      <c r="F319" s="88">
        <f t="shared" si="38"/>
        <v>1271390.982142857</v>
      </c>
      <c r="G319" s="261">
        <v>0</v>
      </c>
      <c r="H319" s="261">
        <v>0</v>
      </c>
      <c r="I319" s="88">
        <v>0</v>
      </c>
      <c r="J319" s="88">
        <f t="shared" si="39"/>
        <v>17292718.003142856</v>
      </c>
      <c r="K319" s="88">
        <f t="shared" si="40"/>
        <v>6932258.2931428552</v>
      </c>
    </row>
    <row r="320" spans="1:12" s="248" customFormat="1" x14ac:dyDescent="0.2">
      <c r="A320" s="65">
        <f t="shared" si="37"/>
        <v>244</v>
      </c>
      <c r="B320" s="130" t="s">
        <v>14</v>
      </c>
      <c r="C320" s="262">
        <v>2013</v>
      </c>
      <c r="D320" s="261">
        <v>1079654</v>
      </c>
      <c r="E320" s="88">
        <v>80974.05</v>
      </c>
      <c r="F320" s="88">
        <f t="shared" si="38"/>
        <v>1160628.05</v>
      </c>
      <c r="G320" s="261">
        <v>0</v>
      </c>
      <c r="H320" s="261">
        <v>0</v>
      </c>
      <c r="I320" s="88">
        <v>0</v>
      </c>
      <c r="J320" s="88">
        <f t="shared" si="39"/>
        <v>18453346.053142857</v>
      </c>
      <c r="K320" s="88">
        <f t="shared" si="40"/>
        <v>8092886.3431428559</v>
      </c>
    </row>
    <row r="321" spans="1:11" s="248" customFormat="1" x14ac:dyDescent="0.2">
      <c r="A321" s="65">
        <f t="shared" si="37"/>
        <v>245</v>
      </c>
      <c r="B321" s="118" t="s">
        <v>15</v>
      </c>
      <c r="C321" s="262">
        <v>2013</v>
      </c>
      <c r="D321" s="261">
        <v>973841.18812737463</v>
      </c>
      <c r="E321" s="88">
        <v>73038.089109553097</v>
      </c>
      <c r="F321" s="88">
        <f t="shared" si="38"/>
        <v>1046879.2772369278</v>
      </c>
      <c r="G321" s="261">
        <v>0</v>
      </c>
      <c r="H321" s="261">
        <v>0</v>
      </c>
      <c r="I321" s="88">
        <v>0</v>
      </c>
      <c r="J321" s="88">
        <f t="shared" si="39"/>
        <v>19500225.330379784</v>
      </c>
      <c r="K321" s="88">
        <f t="shared" si="40"/>
        <v>9139765.6203797832</v>
      </c>
    </row>
    <row r="322" spans="1:11" s="248" customFormat="1" x14ac:dyDescent="0.2">
      <c r="A322" s="65">
        <f t="shared" si="37"/>
        <v>246</v>
      </c>
      <c r="B322" s="118" t="s">
        <v>16</v>
      </c>
      <c r="C322" s="262">
        <v>2013</v>
      </c>
      <c r="D322" s="261">
        <v>836888</v>
      </c>
      <c r="E322" s="88">
        <v>62766.6</v>
      </c>
      <c r="F322" s="88">
        <f t="shared" si="38"/>
        <v>899654.6</v>
      </c>
      <c r="G322" s="261">
        <v>0</v>
      </c>
      <c r="H322" s="261">
        <v>0</v>
      </c>
      <c r="I322" s="88">
        <v>0</v>
      </c>
      <c r="J322" s="88">
        <f t="shared" si="39"/>
        <v>20399879.930379786</v>
      </c>
      <c r="K322" s="88">
        <f t="shared" si="40"/>
        <v>10039420.220379785</v>
      </c>
    </row>
    <row r="323" spans="1:11" s="248" customFormat="1" x14ac:dyDescent="0.2">
      <c r="A323" s="65">
        <f t="shared" si="37"/>
        <v>247</v>
      </c>
      <c r="B323" s="130" t="s">
        <v>18</v>
      </c>
      <c r="C323" s="262">
        <v>2013</v>
      </c>
      <c r="D323" s="261">
        <v>824970.12830138986</v>
      </c>
      <c r="E323" s="88">
        <v>61872.759622604237</v>
      </c>
      <c r="F323" s="88">
        <f t="shared" si="38"/>
        <v>886842.8879239941</v>
      </c>
      <c r="G323" s="261">
        <v>0</v>
      </c>
      <c r="H323" s="261">
        <v>0</v>
      </c>
      <c r="I323" s="88">
        <v>0</v>
      </c>
      <c r="J323" s="88">
        <f t="shared" si="39"/>
        <v>21286722.818303779</v>
      </c>
      <c r="K323" s="88">
        <f t="shared" si="40"/>
        <v>10926263.108303778</v>
      </c>
    </row>
    <row r="324" spans="1:11" s="248" customFormat="1" x14ac:dyDescent="0.2">
      <c r="A324" s="65">
        <f t="shared" si="37"/>
        <v>248</v>
      </c>
      <c r="B324" s="130" t="s">
        <v>17</v>
      </c>
      <c r="C324" s="262">
        <v>2013</v>
      </c>
      <c r="D324" s="261">
        <v>879755</v>
      </c>
      <c r="E324" s="88">
        <v>65981.625</v>
      </c>
      <c r="F324" s="88">
        <f t="shared" si="38"/>
        <v>945736.625</v>
      </c>
      <c r="G324" s="261">
        <v>0</v>
      </c>
      <c r="H324" s="261">
        <v>0</v>
      </c>
      <c r="I324" s="88">
        <v>0</v>
      </c>
      <c r="J324" s="88">
        <f t="shared" si="39"/>
        <v>22232459.443303779</v>
      </c>
      <c r="K324" s="88">
        <f t="shared" si="40"/>
        <v>11871999.733303778</v>
      </c>
    </row>
    <row r="325" spans="1:11" s="248" customFormat="1" x14ac:dyDescent="0.2">
      <c r="A325" s="65">
        <f t="shared" si="37"/>
        <v>249</v>
      </c>
      <c r="B325" s="130" t="s">
        <v>9</v>
      </c>
      <c r="C325" s="262">
        <v>2013</v>
      </c>
      <c r="D325" s="261">
        <v>1028279.6369289192</v>
      </c>
      <c r="E325" s="88">
        <v>77120.972769668937</v>
      </c>
      <c r="F325" s="88">
        <f t="shared" si="38"/>
        <v>1105400.6096985883</v>
      </c>
      <c r="G325" s="261">
        <v>0</v>
      </c>
      <c r="H325" s="261">
        <v>0</v>
      </c>
      <c r="I325" s="88">
        <v>0</v>
      </c>
      <c r="J325" s="88">
        <f t="shared" si="39"/>
        <v>23337860.053002369</v>
      </c>
      <c r="K325" s="88">
        <f t="shared" si="40"/>
        <v>12977400.343002368</v>
      </c>
    </row>
    <row r="326" spans="1:11" s="248" customFormat="1" x14ac:dyDescent="0.2">
      <c r="A326" s="65">
        <f t="shared" si="37"/>
        <v>250</v>
      </c>
      <c r="B326" s="130" t="s">
        <v>10</v>
      </c>
      <c r="C326" s="262">
        <v>2014</v>
      </c>
      <c r="D326" s="261">
        <v>872952.67674797843</v>
      </c>
      <c r="E326" s="88">
        <v>65471.450756098377</v>
      </c>
      <c r="F326" s="88">
        <f t="shared" si="38"/>
        <v>938424.12750407681</v>
      </c>
      <c r="G326" s="261">
        <v>0</v>
      </c>
      <c r="H326" s="261">
        <v>0</v>
      </c>
      <c r="I326" s="88">
        <v>0</v>
      </c>
      <c r="J326" s="88">
        <f t="shared" si="39"/>
        <v>24276284.180506445</v>
      </c>
      <c r="K326" s="88">
        <f t="shared" si="40"/>
        <v>13915824.470506445</v>
      </c>
    </row>
    <row r="327" spans="1:11" s="248" customFormat="1" x14ac:dyDescent="0.2">
      <c r="A327" s="65">
        <f t="shared" si="37"/>
        <v>251</v>
      </c>
      <c r="B327" s="118" t="s">
        <v>11</v>
      </c>
      <c r="C327" s="262">
        <v>2014</v>
      </c>
      <c r="D327" s="261">
        <v>902084.57068167999</v>
      </c>
      <c r="E327" s="88">
        <v>67656.342801125997</v>
      </c>
      <c r="F327" s="88">
        <f t="shared" si="38"/>
        <v>969740.91348280595</v>
      </c>
      <c r="G327" s="261">
        <v>0</v>
      </c>
      <c r="H327" s="261">
        <v>0</v>
      </c>
      <c r="I327" s="88">
        <v>0</v>
      </c>
      <c r="J327" s="88">
        <f t="shared" si="39"/>
        <v>25246025.093989253</v>
      </c>
      <c r="K327" s="88">
        <f t="shared" si="40"/>
        <v>14885565.383989252</v>
      </c>
    </row>
    <row r="328" spans="1:11" s="248" customFormat="1" x14ac:dyDescent="0.2">
      <c r="A328" s="65">
        <f t="shared" si="37"/>
        <v>252</v>
      </c>
      <c r="B328" s="118" t="s">
        <v>21</v>
      </c>
      <c r="C328" s="262">
        <v>2014</v>
      </c>
      <c r="D328" s="261">
        <v>934430.20597112982</v>
      </c>
      <c r="E328" s="88">
        <v>70082.265447834739</v>
      </c>
      <c r="F328" s="88">
        <f t="shared" si="38"/>
        <v>1004512.4714189646</v>
      </c>
      <c r="G328" s="261">
        <v>0</v>
      </c>
      <c r="H328" s="261">
        <v>0</v>
      </c>
      <c r="I328" s="88">
        <v>0</v>
      </c>
      <c r="J328" s="88">
        <f t="shared" si="39"/>
        <v>26250537.565408219</v>
      </c>
      <c r="K328" s="88">
        <f t="shared" si="40"/>
        <v>15890077.855408218</v>
      </c>
    </row>
    <row r="329" spans="1:11" s="248" customFormat="1" x14ac:dyDescent="0.2">
      <c r="A329" s="65">
        <f t="shared" si="37"/>
        <v>253</v>
      </c>
      <c r="B329" s="130" t="s">
        <v>12</v>
      </c>
      <c r="C329" s="262">
        <v>2014</v>
      </c>
      <c r="D329" s="261">
        <v>950785.00322950177</v>
      </c>
      <c r="E329" s="88">
        <v>71308.875242212627</v>
      </c>
      <c r="F329" s="88">
        <f t="shared" si="38"/>
        <v>1022093.8784717144</v>
      </c>
      <c r="G329" s="261">
        <v>0</v>
      </c>
      <c r="H329" s="261">
        <v>0</v>
      </c>
      <c r="I329" s="88">
        <v>0</v>
      </c>
      <c r="J329" s="88">
        <f t="shared" si="39"/>
        <v>27272631.443879932</v>
      </c>
      <c r="K329" s="88">
        <f t="shared" si="40"/>
        <v>16912171.733879931</v>
      </c>
    </row>
    <row r="330" spans="1:11" s="248" customFormat="1" x14ac:dyDescent="0.2">
      <c r="A330" s="65">
        <f t="shared" si="37"/>
        <v>254</v>
      </c>
      <c r="B330" s="118" t="s">
        <v>13</v>
      </c>
      <c r="C330" s="262">
        <v>2014</v>
      </c>
      <c r="D330" s="261">
        <v>952732.80292912317</v>
      </c>
      <c r="E330" s="88">
        <v>71454.960219684232</v>
      </c>
      <c r="F330" s="88">
        <f t="shared" si="38"/>
        <v>1024187.7631488075</v>
      </c>
      <c r="G330" s="261">
        <v>0</v>
      </c>
      <c r="H330" s="261">
        <v>0</v>
      </c>
      <c r="I330" s="88">
        <v>0</v>
      </c>
      <c r="J330" s="88">
        <f t="shared" si="39"/>
        <v>28296819.207028739</v>
      </c>
      <c r="K330" s="88">
        <f t="shared" si="40"/>
        <v>17936359.497028738</v>
      </c>
    </row>
    <row r="331" spans="1:11" s="248" customFormat="1" x14ac:dyDescent="0.2">
      <c r="A331" s="65">
        <f t="shared" si="37"/>
        <v>255</v>
      </c>
      <c r="B331" s="118" t="s">
        <v>28</v>
      </c>
      <c r="C331" s="262">
        <v>2014</v>
      </c>
      <c r="D331" s="261">
        <v>967332.34303844138</v>
      </c>
      <c r="E331" s="88">
        <v>72549.925727883106</v>
      </c>
      <c r="F331" s="88">
        <f t="shared" si="38"/>
        <v>1039882.2687663245</v>
      </c>
      <c r="G331" s="261">
        <v>0</v>
      </c>
      <c r="H331" s="261">
        <v>0</v>
      </c>
      <c r="I331" s="88">
        <v>0</v>
      </c>
      <c r="J331" s="88">
        <f t="shared" si="39"/>
        <v>29336701.475795064</v>
      </c>
      <c r="K331" s="88">
        <f t="shared" si="40"/>
        <v>18976241.765795063</v>
      </c>
    </row>
    <row r="332" spans="1:11" s="248" customFormat="1" x14ac:dyDescent="0.2">
      <c r="A332" s="65">
        <f t="shared" si="37"/>
        <v>256</v>
      </c>
      <c r="B332" s="130" t="s">
        <v>14</v>
      </c>
      <c r="C332" s="262">
        <v>2014</v>
      </c>
      <c r="D332" s="261">
        <v>981377.92842821812</v>
      </c>
      <c r="E332" s="88">
        <v>73603.34463211635</v>
      </c>
      <c r="F332" s="88">
        <f t="shared" si="38"/>
        <v>1054981.2730603344</v>
      </c>
      <c r="G332" s="261">
        <v>0</v>
      </c>
      <c r="H332" s="261">
        <v>0</v>
      </c>
      <c r="I332" s="88">
        <v>0</v>
      </c>
      <c r="J332" s="88">
        <f t="shared" si="39"/>
        <v>30391682.748855397</v>
      </c>
      <c r="K332" s="88">
        <f t="shared" si="40"/>
        <v>20031223.038855396</v>
      </c>
    </row>
    <row r="333" spans="1:11" s="248" customFormat="1" x14ac:dyDescent="0.2">
      <c r="A333" s="65">
        <f t="shared" si="37"/>
        <v>257</v>
      </c>
      <c r="B333" s="118" t="s">
        <v>15</v>
      </c>
      <c r="C333" s="262">
        <v>2014</v>
      </c>
      <c r="D333" s="261">
        <v>1348498.8137382169</v>
      </c>
      <c r="E333" s="88">
        <v>101137.41103036626</v>
      </c>
      <c r="F333" s="88">
        <f t="shared" si="38"/>
        <v>1449636.2247685832</v>
      </c>
      <c r="G333" s="261">
        <v>0</v>
      </c>
      <c r="H333" s="261">
        <v>0</v>
      </c>
      <c r="I333" s="88">
        <v>0</v>
      </c>
      <c r="J333" s="88">
        <f t="shared" si="39"/>
        <v>31841318.97362398</v>
      </c>
      <c r="K333" s="88">
        <f t="shared" si="40"/>
        <v>21480859.263623979</v>
      </c>
    </row>
    <row r="334" spans="1:11" s="248" customFormat="1" x14ac:dyDescent="0.2">
      <c r="A334" s="65">
        <f t="shared" si="37"/>
        <v>258</v>
      </c>
      <c r="B334" s="118" t="s">
        <v>16</v>
      </c>
      <c r="C334" s="262">
        <v>2014</v>
      </c>
      <c r="D334" s="261">
        <v>1196586.7642888366</v>
      </c>
      <c r="E334" s="88">
        <v>89744.00732166275</v>
      </c>
      <c r="F334" s="88">
        <f t="shared" si="38"/>
        <v>1286330.7716104994</v>
      </c>
      <c r="G334" s="261">
        <v>0</v>
      </c>
      <c r="H334" s="261">
        <v>0</v>
      </c>
      <c r="I334" s="88">
        <v>0</v>
      </c>
      <c r="J334" s="88">
        <f t="shared" si="39"/>
        <v>33127649.745234478</v>
      </c>
      <c r="K334" s="88">
        <f t="shared" si="40"/>
        <v>22767190.035234477</v>
      </c>
    </row>
    <row r="335" spans="1:11" s="248" customFormat="1" x14ac:dyDescent="0.2">
      <c r="A335" s="65">
        <f t="shared" si="37"/>
        <v>259</v>
      </c>
      <c r="B335" s="118" t="s">
        <v>18</v>
      </c>
      <c r="C335" s="262">
        <v>2014</v>
      </c>
      <c r="D335" s="261">
        <v>1874677.2074983111</v>
      </c>
      <c r="E335" s="88">
        <v>140600.79056237332</v>
      </c>
      <c r="F335" s="88">
        <f t="shared" si="38"/>
        <v>2015277.9980606844</v>
      </c>
      <c r="G335" s="261">
        <v>0</v>
      </c>
      <c r="H335" s="261">
        <v>0</v>
      </c>
      <c r="I335" s="88">
        <v>0</v>
      </c>
      <c r="J335" s="88">
        <f t="shared" si="39"/>
        <v>35142927.743295163</v>
      </c>
      <c r="K335" s="88">
        <f t="shared" si="40"/>
        <v>24782468.033295162</v>
      </c>
    </row>
    <row r="336" spans="1:11" s="248" customFormat="1" x14ac:dyDescent="0.2">
      <c r="A336" s="65">
        <f t="shared" si="37"/>
        <v>260</v>
      </c>
      <c r="B336" s="118" t="s">
        <v>17</v>
      </c>
      <c r="C336" s="262">
        <v>2014</v>
      </c>
      <c r="D336" s="261">
        <v>1678936.1877911217</v>
      </c>
      <c r="E336" s="88">
        <v>125920.21408433412</v>
      </c>
      <c r="F336" s="88">
        <f t="shared" si="38"/>
        <v>1804856.4018754559</v>
      </c>
      <c r="G336" s="261">
        <v>0</v>
      </c>
      <c r="H336" s="261">
        <v>0</v>
      </c>
      <c r="I336" s="88">
        <v>0</v>
      </c>
      <c r="J336" s="88">
        <f t="shared" si="39"/>
        <v>36947784.145170622</v>
      </c>
      <c r="K336" s="88">
        <f t="shared" si="40"/>
        <v>26587324.435170621</v>
      </c>
    </row>
    <row r="337" spans="1:11" s="248" customFormat="1" x14ac:dyDescent="0.2">
      <c r="A337" s="65">
        <f t="shared" si="37"/>
        <v>261</v>
      </c>
      <c r="B337" s="118" t="s">
        <v>9</v>
      </c>
      <c r="C337" s="262">
        <v>2014</v>
      </c>
      <c r="D337" s="261">
        <v>1865326.3147956529</v>
      </c>
      <c r="E337" s="88">
        <v>139899.47360967397</v>
      </c>
      <c r="F337" s="88">
        <f t="shared" si="38"/>
        <v>2005225.7884053269</v>
      </c>
      <c r="G337" s="261">
        <v>0</v>
      </c>
      <c r="H337" s="261">
        <v>0</v>
      </c>
      <c r="I337" s="88">
        <v>0</v>
      </c>
      <c r="J337" s="88">
        <f t="shared" si="39"/>
        <v>38953009.933575951</v>
      </c>
      <c r="K337" s="260">
        <f t="shared" si="40"/>
        <v>28592550.22357595</v>
      </c>
    </row>
    <row r="338" spans="1:11" s="248" customFormat="1" x14ac:dyDescent="0.2">
      <c r="A338" s="65">
        <f t="shared" si="37"/>
        <v>262</v>
      </c>
      <c r="B338"/>
      <c r="C338" s="259" t="s">
        <v>343</v>
      </c>
      <c r="D338"/>
      <c r="E338"/>
      <c r="F338"/>
      <c r="G338"/>
      <c r="H338"/>
      <c r="I338"/>
      <c r="J338"/>
      <c r="K338" s="258">
        <f>AVERAGE(K325:K337)</f>
        <v>19671942.775335815</v>
      </c>
    </row>
    <row r="339" spans="1:11" s="248" customFormat="1" x14ac:dyDescent="0.2">
      <c r="A339" s="65"/>
      <c r="B339"/>
      <c r="C339" s="259"/>
      <c r="D339"/>
      <c r="E339"/>
      <c r="F339"/>
      <c r="G339"/>
      <c r="H339"/>
      <c r="I339"/>
      <c r="J339"/>
      <c r="K339" s="258"/>
    </row>
    <row r="340" spans="1:11" s="248" customFormat="1" x14ac:dyDescent="0.2">
      <c r="B340" s="269" t="s">
        <v>354</v>
      </c>
      <c r="D340" s="548" t="s">
        <v>353</v>
      </c>
      <c r="E340" s="548"/>
    </row>
    <row r="341" spans="1:11" s="248" customFormat="1" x14ac:dyDescent="0.2">
      <c r="D341" s="265"/>
      <c r="E341" s="265"/>
      <c r="F341" s="265"/>
      <c r="G341" s="60" t="str">
        <f>G51</f>
        <v>Unloaded</v>
      </c>
      <c r="H341" s="265"/>
      <c r="I341" s="265"/>
    </row>
    <row r="342" spans="1:11" s="248" customFormat="1" x14ac:dyDescent="0.2">
      <c r="A342" s="255"/>
      <c r="B342" s="255"/>
      <c r="C342" s="255"/>
      <c r="D342" s="255" t="str">
        <f>D$52</f>
        <v>Forecast</v>
      </c>
      <c r="E342" s="255" t="str">
        <f>E$52</f>
        <v>Corporate</v>
      </c>
      <c r="F342" s="255" t="str">
        <f>F$52</f>
        <v xml:space="preserve">Total </v>
      </c>
      <c r="G342" s="60" t="str">
        <f>G52</f>
        <v>Total</v>
      </c>
      <c r="H342" s="255" t="str">
        <f>H$52</f>
        <v>Prior Period</v>
      </c>
      <c r="I342" s="255" t="str">
        <f>I$52</f>
        <v>Over Heads</v>
      </c>
      <c r="J342" s="255" t="str">
        <f>J$52</f>
        <v>Forecast</v>
      </c>
      <c r="K342" s="60" t="str">
        <f>K$52</f>
        <v>Forecast Period</v>
      </c>
    </row>
    <row r="343" spans="1:11" s="248" customFormat="1" x14ac:dyDescent="0.2">
      <c r="A343" s="102" t="s">
        <v>170</v>
      </c>
      <c r="B343" s="128" t="s">
        <v>19</v>
      </c>
      <c r="C343" s="128" t="s">
        <v>20</v>
      </c>
      <c r="D343" s="263" t="str">
        <f>D$53</f>
        <v>Expenditures</v>
      </c>
      <c r="E343" s="263" t="str">
        <f>E$53</f>
        <v>Overheads</v>
      </c>
      <c r="F343" s="263" t="str">
        <f>F$53</f>
        <v>CWIP Exp</v>
      </c>
      <c r="G343" s="64" t="str">
        <f>G53</f>
        <v>Plant Adds</v>
      </c>
      <c r="H343" s="263" t="str">
        <f>H$53</f>
        <v>CWIP Closed</v>
      </c>
      <c r="I343" s="263" t="str">
        <f>I$53</f>
        <v>Closed to PIS</v>
      </c>
      <c r="J343" s="263" t="str">
        <f>J$53</f>
        <v>Period CWIP</v>
      </c>
      <c r="K343" s="263" t="str">
        <f>K$53</f>
        <v>Incremental CWIP</v>
      </c>
    </row>
    <row r="344" spans="1:11" s="248" customFormat="1" x14ac:dyDescent="0.2">
      <c r="A344" s="65">
        <f>A338+1</f>
        <v>263</v>
      </c>
      <c r="B344" s="130" t="s">
        <v>9</v>
      </c>
      <c r="C344" s="262">
        <v>2012</v>
      </c>
      <c r="D344" s="252" t="s">
        <v>344</v>
      </c>
      <c r="E344" s="252" t="s">
        <v>344</v>
      </c>
      <c r="F344" s="252" t="s">
        <v>344</v>
      </c>
      <c r="G344" s="252" t="s">
        <v>344</v>
      </c>
      <c r="H344" s="252" t="s">
        <v>344</v>
      </c>
      <c r="I344" s="252" t="s">
        <v>344</v>
      </c>
      <c r="J344" s="88">
        <f>G45</f>
        <v>11494421.74613302</v>
      </c>
      <c r="K344" s="252" t="s">
        <v>344</v>
      </c>
    </row>
    <row r="345" spans="1:11" s="248" customFormat="1" x14ac:dyDescent="0.2">
      <c r="A345" s="65">
        <f t="shared" ref="A345:A369" si="41">A344+1</f>
        <v>264</v>
      </c>
      <c r="B345" s="130" t="s">
        <v>10</v>
      </c>
      <c r="C345" s="262">
        <v>2013</v>
      </c>
      <c r="D345" s="261">
        <v>523825.00000000006</v>
      </c>
      <c r="E345" s="88">
        <v>39286.875</v>
      </c>
      <c r="F345" s="88">
        <f t="shared" ref="F345:F368" si="42">E345+D345</f>
        <v>563111.875</v>
      </c>
      <c r="G345" s="261">
        <v>0</v>
      </c>
      <c r="H345" s="261">
        <v>0</v>
      </c>
      <c r="I345" s="88">
        <v>0</v>
      </c>
      <c r="J345" s="88">
        <f t="shared" ref="J345:J368" si="43">J344+F345-G345-I345</f>
        <v>12057533.62113302</v>
      </c>
      <c r="K345" s="88">
        <f t="shared" ref="K345:K368" si="44">J345-$J$344</f>
        <v>563111.875</v>
      </c>
    </row>
    <row r="346" spans="1:11" s="248" customFormat="1" x14ac:dyDescent="0.2">
      <c r="A346" s="65">
        <f t="shared" si="41"/>
        <v>265</v>
      </c>
      <c r="B346" s="118" t="s">
        <v>11</v>
      </c>
      <c r="C346" s="262">
        <v>2013</v>
      </c>
      <c r="D346" s="261">
        <v>643800</v>
      </c>
      <c r="E346" s="88">
        <v>48285</v>
      </c>
      <c r="F346" s="88">
        <f t="shared" si="42"/>
        <v>692085</v>
      </c>
      <c r="G346" s="261">
        <v>0</v>
      </c>
      <c r="H346" s="261">
        <v>0</v>
      </c>
      <c r="I346" s="88">
        <v>0</v>
      </c>
      <c r="J346" s="88">
        <f t="shared" si="43"/>
        <v>12749618.62113302</v>
      </c>
      <c r="K346" s="88">
        <f t="shared" si="44"/>
        <v>1255196.875</v>
      </c>
    </row>
    <row r="347" spans="1:11" s="248" customFormat="1" x14ac:dyDescent="0.2">
      <c r="A347" s="65">
        <f t="shared" si="41"/>
        <v>266</v>
      </c>
      <c r="B347" s="118" t="s">
        <v>21</v>
      </c>
      <c r="C347" s="262">
        <v>2013</v>
      </c>
      <c r="D347" s="261">
        <v>636954</v>
      </c>
      <c r="E347" s="88">
        <v>47771.549999999996</v>
      </c>
      <c r="F347" s="88">
        <f t="shared" si="42"/>
        <v>684725.55</v>
      </c>
      <c r="G347" s="261">
        <v>0</v>
      </c>
      <c r="H347" s="261">
        <v>0</v>
      </c>
      <c r="I347" s="88">
        <v>0</v>
      </c>
      <c r="J347" s="88">
        <f t="shared" si="43"/>
        <v>13434344.171133021</v>
      </c>
      <c r="K347" s="88">
        <f t="shared" si="44"/>
        <v>1939922.4250000007</v>
      </c>
    </row>
    <row r="348" spans="1:11" s="248" customFormat="1" x14ac:dyDescent="0.2">
      <c r="A348" s="65">
        <f t="shared" si="41"/>
        <v>267</v>
      </c>
      <c r="B348" s="130" t="s">
        <v>12</v>
      </c>
      <c r="C348" s="262">
        <v>2013</v>
      </c>
      <c r="D348" s="261">
        <v>707962</v>
      </c>
      <c r="E348" s="88">
        <v>53097.15</v>
      </c>
      <c r="F348" s="88">
        <f t="shared" si="42"/>
        <v>761059.15</v>
      </c>
      <c r="G348" s="261">
        <v>0</v>
      </c>
      <c r="H348" s="261">
        <v>0</v>
      </c>
      <c r="I348" s="88">
        <v>0</v>
      </c>
      <c r="J348" s="88">
        <f t="shared" si="43"/>
        <v>14195403.321133021</v>
      </c>
      <c r="K348" s="88">
        <f t="shared" si="44"/>
        <v>2700981.5750000011</v>
      </c>
    </row>
    <row r="349" spans="1:11" s="248" customFormat="1" x14ac:dyDescent="0.2">
      <c r="A349" s="65">
        <f t="shared" si="41"/>
        <v>268</v>
      </c>
      <c r="B349" s="118" t="s">
        <v>13</v>
      </c>
      <c r="C349" s="262">
        <v>2013</v>
      </c>
      <c r="D349" s="261">
        <v>1088012</v>
      </c>
      <c r="E349" s="88">
        <v>81600.899999999994</v>
      </c>
      <c r="F349" s="88">
        <f t="shared" si="42"/>
        <v>1169612.8999999999</v>
      </c>
      <c r="G349" s="261">
        <v>0</v>
      </c>
      <c r="H349" s="261">
        <v>0</v>
      </c>
      <c r="I349" s="88">
        <v>0</v>
      </c>
      <c r="J349" s="88">
        <f t="shared" si="43"/>
        <v>15365016.221133022</v>
      </c>
      <c r="K349" s="88">
        <f t="shared" si="44"/>
        <v>3870594.4750000015</v>
      </c>
    </row>
    <row r="350" spans="1:11" s="248" customFormat="1" x14ac:dyDescent="0.2">
      <c r="A350" s="65">
        <f t="shared" si="41"/>
        <v>269</v>
      </c>
      <c r="B350" s="118" t="s">
        <v>28</v>
      </c>
      <c r="C350" s="262">
        <v>2013</v>
      </c>
      <c r="D350" s="261">
        <v>830062</v>
      </c>
      <c r="E350" s="88">
        <v>62254.649999999994</v>
      </c>
      <c r="F350" s="88">
        <f t="shared" si="42"/>
        <v>892316.65</v>
      </c>
      <c r="G350" s="261">
        <v>0</v>
      </c>
      <c r="H350" s="261">
        <v>0</v>
      </c>
      <c r="I350" s="88">
        <v>0</v>
      </c>
      <c r="J350" s="88">
        <f t="shared" si="43"/>
        <v>16257332.871133022</v>
      </c>
      <c r="K350" s="88">
        <f t="shared" si="44"/>
        <v>4762911.1250000019</v>
      </c>
    </row>
    <row r="351" spans="1:11" s="248" customFormat="1" x14ac:dyDescent="0.2">
      <c r="A351" s="65">
        <f t="shared" si="41"/>
        <v>270</v>
      </c>
      <c r="B351" s="130" t="s">
        <v>14</v>
      </c>
      <c r="C351" s="262">
        <v>2013</v>
      </c>
      <c r="D351" s="261">
        <v>812279</v>
      </c>
      <c r="E351" s="88">
        <v>60920.924999999996</v>
      </c>
      <c r="F351" s="88">
        <f t="shared" si="42"/>
        <v>873199.92500000005</v>
      </c>
      <c r="G351" s="261">
        <v>0</v>
      </c>
      <c r="H351" s="261">
        <v>0</v>
      </c>
      <c r="I351" s="88">
        <v>0</v>
      </c>
      <c r="J351" s="88">
        <f t="shared" si="43"/>
        <v>17130532.796133023</v>
      </c>
      <c r="K351" s="88">
        <f t="shared" si="44"/>
        <v>5636111.0500000026</v>
      </c>
    </row>
    <row r="352" spans="1:11" s="248" customFormat="1" x14ac:dyDescent="0.2">
      <c r="A352" s="65">
        <f t="shared" si="41"/>
        <v>271</v>
      </c>
      <c r="B352" s="118" t="s">
        <v>15</v>
      </c>
      <c r="C352" s="262">
        <v>2013</v>
      </c>
      <c r="D352" s="261">
        <v>1286379</v>
      </c>
      <c r="E352" s="88">
        <v>96478.425000000003</v>
      </c>
      <c r="F352" s="88">
        <f t="shared" si="42"/>
        <v>1382857.425</v>
      </c>
      <c r="G352" s="261">
        <v>0</v>
      </c>
      <c r="H352" s="261">
        <v>0</v>
      </c>
      <c r="I352" s="88">
        <v>0</v>
      </c>
      <c r="J352" s="88">
        <f t="shared" si="43"/>
        <v>18513390.221133024</v>
      </c>
      <c r="K352" s="88">
        <f t="shared" si="44"/>
        <v>7018968.4750000034</v>
      </c>
    </row>
    <row r="353" spans="1:11" s="248" customFormat="1" x14ac:dyDescent="0.2">
      <c r="A353" s="65">
        <f t="shared" si="41"/>
        <v>272</v>
      </c>
      <c r="B353" s="118" t="s">
        <v>16</v>
      </c>
      <c r="C353" s="262">
        <v>2013</v>
      </c>
      <c r="D353" s="261">
        <v>655974</v>
      </c>
      <c r="E353" s="88">
        <v>49198.049999999996</v>
      </c>
      <c r="F353" s="88">
        <f t="shared" si="42"/>
        <v>705172.05</v>
      </c>
      <c r="G353" s="261">
        <v>0</v>
      </c>
      <c r="H353" s="261">
        <v>0</v>
      </c>
      <c r="I353" s="88">
        <v>0</v>
      </c>
      <c r="J353" s="88">
        <f t="shared" si="43"/>
        <v>19218562.271133024</v>
      </c>
      <c r="K353" s="88">
        <f t="shared" si="44"/>
        <v>7724140.5250000041</v>
      </c>
    </row>
    <row r="354" spans="1:11" s="248" customFormat="1" x14ac:dyDescent="0.2">
      <c r="A354" s="65">
        <f t="shared" si="41"/>
        <v>273</v>
      </c>
      <c r="B354" s="130" t="s">
        <v>18</v>
      </c>
      <c r="C354" s="262">
        <v>2013</v>
      </c>
      <c r="D354" s="261">
        <v>765971</v>
      </c>
      <c r="E354" s="88">
        <v>57447.824999999997</v>
      </c>
      <c r="F354" s="88">
        <f t="shared" si="42"/>
        <v>823418.82499999995</v>
      </c>
      <c r="G354" s="261">
        <v>0</v>
      </c>
      <c r="H354" s="261">
        <v>0</v>
      </c>
      <c r="I354" s="88">
        <v>0</v>
      </c>
      <c r="J354" s="88">
        <f t="shared" si="43"/>
        <v>20041981.096133024</v>
      </c>
      <c r="K354" s="88">
        <f t="shared" si="44"/>
        <v>8547559.3500000034</v>
      </c>
    </row>
    <row r="355" spans="1:11" s="248" customFormat="1" x14ac:dyDescent="0.2">
      <c r="A355" s="65">
        <f t="shared" si="41"/>
        <v>274</v>
      </c>
      <c r="B355" s="130" t="s">
        <v>17</v>
      </c>
      <c r="C355" s="262">
        <v>2013</v>
      </c>
      <c r="D355" s="261">
        <v>724174</v>
      </c>
      <c r="E355" s="88">
        <v>54313.049999999996</v>
      </c>
      <c r="F355" s="88">
        <f t="shared" si="42"/>
        <v>778487.05</v>
      </c>
      <c r="G355" s="261">
        <v>0</v>
      </c>
      <c r="H355" s="261">
        <v>0</v>
      </c>
      <c r="I355" s="88">
        <v>0</v>
      </c>
      <c r="J355" s="88">
        <f t="shared" si="43"/>
        <v>20820468.146133024</v>
      </c>
      <c r="K355" s="88">
        <f t="shared" si="44"/>
        <v>9326046.4000000041</v>
      </c>
    </row>
    <row r="356" spans="1:11" s="248" customFormat="1" x14ac:dyDescent="0.2">
      <c r="A356" s="65">
        <f t="shared" si="41"/>
        <v>275</v>
      </c>
      <c r="B356" s="130" t="s">
        <v>9</v>
      </c>
      <c r="C356" s="262">
        <v>2013</v>
      </c>
      <c r="D356" s="261">
        <v>839886</v>
      </c>
      <c r="E356" s="88">
        <v>62991.45</v>
      </c>
      <c r="F356" s="88">
        <f t="shared" si="42"/>
        <v>902877.45</v>
      </c>
      <c r="G356" s="261">
        <v>0</v>
      </c>
      <c r="H356" s="261">
        <v>0</v>
      </c>
      <c r="I356" s="88">
        <v>0</v>
      </c>
      <c r="J356" s="88">
        <f t="shared" si="43"/>
        <v>21723345.596133024</v>
      </c>
      <c r="K356" s="88">
        <f t="shared" si="44"/>
        <v>10228923.850000003</v>
      </c>
    </row>
    <row r="357" spans="1:11" s="248" customFormat="1" x14ac:dyDescent="0.2">
      <c r="A357" s="65">
        <f t="shared" si="41"/>
        <v>276</v>
      </c>
      <c r="B357" s="130" t="s">
        <v>10</v>
      </c>
      <c r="C357" s="262">
        <v>2014</v>
      </c>
      <c r="D357" s="261">
        <v>504159</v>
      </c>
      <c r="E357" s="88">
        <v>37811.924999999996</v>
      </c>
      <c r="F357" s="88">
        <f t="shared" si="42"/>
        <v>541970.92500000005</v>
      </c>
      <c r="G357" s="261">
        <v>0</v>
      </c>
      <c r="H357" s="261">
        <v>0</v>
      </c>
      <c r="I357" s="88">
        <v>0</v>
      </c>
      <c r="J357" s="88">
        <f t="shared" si="43"/>
        <v>22265316.521133024</v>
      </c>
      <c r="K357" s="88">
        <f t="shared" si="44"/>
        <v>10770894.775000004</v>
      </c>
    </row>
    <row r="358" spans="1:11" s="248" customFormat="1" x14ac:dyDescent="0.2">
      <c r="A358" s="65">
        <f t="shared" si="41"/>
        <v>277</v>
      </c>
      <c r="B358" s="118" t="s">
        <v>11</v>
      </c>
      <c r="C358" s="262">
        <v>2014</v>
      </c>
      <c r="D358" s="261">
        <v>657059</v>
      </c>
      <c r="E358" s="88">
        <v>49279.424999999996</v>
      </c>
      <c r="F358" s="88">
        <f t="shared" si="42"/>
        <v>706338.42500000005</v>
      </c>
      <c r="G358" s="261">
        <v>0</v>
      </c>
      <c r="H358" s="261">
        <v>0</v>
      </c>
      <c r="I358" s="88">
        <v>0</v>
      </c>
      <c r="J358" s="88">
        <f t="shared" si="43"/>
        <v>22971654.946133025</v>
      </c>
      <c r="K358" s="88">
        <f t="shared" si="44"/>
        <v>11477233.200000005</v>
      </c>
    </row>
    <row r="359" spans="1:11" s="248" customFormat="1" x14ac:dyDescent="0.2">
      <c r="A359" s="65">
        <f t="shared" si="41"/>
        <v>278</v>
      </c>
      <c r="B359" s="118" t="s">
        <v>21</v>
      </c>
      <c r="C359" s="262">
        <v>2014</v>
      </c>
      <c r="D359" s="261">
        <v>479959</v>
      </c>
      <c r="E359" s="88">
        <v>35996.924999999996</v>
      </c>
      <c r="F359" s="88">
        <f t="shared" si="42"/>
        <v>515955.92499999999</v>
      </c>
      <c r="G359" s="261">
        <v>0</v>
      </c>
      <c r="H359" s="261">
        <v>0</v>
      </c>
      <c r="I359" s="88">
        <v>0</v>
      </c>
      <c r="J359" s="88">
        <f t="shared" si="43"/>
        <v>23487610.871133026</v>
      </c>
      <c r="K359" s="88">
        <f t="shared" si="44"/>
        <v>11993189.125000006</v>
      </c>
    </row>
    <row r="360" spans="1:11" s="248" customFormat="1" x14ac:dyDescent="0.2">
      <c r="A360" s="65">
        <f t="shared" si="41"/>
        <v>279</v>
      </c>
      <c r="B360" s="130" t="s">
        <v>12</v>
      </c>
      <c r="C360" s="262">
        <v>2014</v>
      </c>
      <c r="D360" s="261">
        <v>485459</v>
      </c>
      <c r="E360" s="88">
        <v>36409.424999999996</v>
      </c>
      <c r="F360" s="88">
        <f t="shared" si="42"/>
        <v>521868.42499999999</v>
      </c>
      <c r="G360" s="261">
        <v>0</v>
      </c>
      <c r="H360" s="261">
        <v>0</v>
      </c>
      <c r="I360" s="88">
        <v>0</v>
      </c>
      <c r="J360" s="88">
        <f t="shared" si="43"/>
        <v>24009479.296133026</v>
      </c>
      <c r="K360" s="88">
        <f t="shared" si="44"/>
        <v>12515057.550000006</v>
      </c>
    </row>
    <row r="361" spans="1:11" s="248" customFormat="1" x14ac:dyDescent="0.2">
      <c r="A361" s="65">
        <f t="shared" si="41"/>
        <v>280</v>
      </c>
      <c r="B361" s="118" t="s">
        <v>13</v>
      </c>
      <c r="C361" s="262">
        <v>2014</v>
      </c>
      <c r="D361" s="261">
        <v>499000</v>
      </c>
      <c r="E361" s="88">
        <v>37425</v>
      </c>
      <c r="F361" s="88">
        <f t="shared" si="42"/>
        <v>536425</v>
      </c>
      <c r="G361" s="261">
        <v>0</v>
      </c>
      <c r="H361" s="261">
        <v>0</v>
      </c>
      <c r="I361" s="88">
        <v>0</v>
      </c>
      <c r="J361" s="88">
        <f t="shared" si="43"/>
        <v>24545904.296133026</v>
      </c>
      <c r="K361" s="88">
        <f t="shared" si="44"/>
        <v>13051482.550000006</v>
      </c>
    </row>
    <row r="362" spans="1:11" s="248" customFormat="1" x14ac:dyDescent="0.2">
      <c r="A362" s="65">
        <f t="shared" si="41"/>
        <v>281</v>
      </c>
      <c r="B362" s="118" t="s">
        <v>28</v>
      </c>
      <c r="C362" s="262">
        <v>2014</v>
      </c>
      <c r="D362" s="261">
        <v>499000</v>
      </c>
      <c r="E362" s="88">
        <v>37425</v>
      </c>
      <c r="F362" s="88">
        <f t="shared" si="42"/>
        <v>536425</v>
      </c>
      <c r="G362" s="261">
        <v>0</v>
      </c>
      <c r="H362" s="261">
        <v>0</v>
      </c>
      <c r="I362" s="88">
        <v>0</v>
      </c>
      <c r="J362" s="88">
        <f t="shared" si="43"/>
        <v>25082329.296133026</v>
      </c>
      <c r="K362" s="88">
        <f t="shared" si="44"/>
        <v>13587907.550000006</v>
      </c>
    </row>
    <row r="363" spans="1:11" s="248" customFormat="1" x14ac:dyDescent="0.2">
      <c r="A363" s="65">
        <f t="shared" si="41"/>
        <v>282</v>
      </c>
      <c r="B363" s="130" t="s">
        <v>14</v>
      </c>
      <c r="C363" s="262">
        <v>2014</v>
      </c>
      <c r="D363" s="261">
        <v>480000</v>
      </c>
      <c r="E363" s="88">
        <v>36000</v>
      </c>
      <c r="F363" s="88">
        <f t="shared" si="42"/>
        <v>516000</v>
      </c>
      <c r="G363" s="261">
        <v>0</v>
      </c>
      <c r="H363" s="261">
        <v>0</v>
      </c>
      <c r="I363" s="88">
        <v>0</v>
      </c>
      <c r="J363" s="88">
        <f t="shared" si="43"/>
        <v>25598329.296133026</v>
      </c>
      <c r="K363" s="88">
        <f t="shared" si="44"/>
        <v>14103907.550000006</v>
      </c>
    </row>
    <row r="364" spans="1:11" s="248" customFormat="1" x14ac:dyDescent="0.2">
      <c r="A364" s="65">
        <f t="shared" si="41"/>
        <v>283</v>
      </c>
      <c r="B364" s="118" t="s">
        <v>15</v>
      </c>
      <c r="C364" s="262">
        <v>2014</v>
      </c>
      <c r="D364" s="261">
        <v>480000</v>
      </c>
      <c r="E364" s="88">
        <v>36000</v>
      </c>
      <c r="F364" s="88">
        <f t="shared" si="42"/>
        <v>516000</v>
      </c>
      <c r="G364" s="261">
        <v>0</v>
      </c>
      <c r="H364" s="261">
        <v>0</v>
      </c>
      <c r="I364" s="88">
        <v>0</v>
      </c>
      <c r="J364" s="88">
        <f t="shared" si="43"/>
        <v>26114329.296133026</v>
      </c>
      <c r="K364" s="88">
        <f t="shared" si="44"/>
        <v>14619907.550000006</v>
      </c>
    </row>
    <row r="365" spans="1:11" s="248" customFormat="1" x14ac:dyDescent="0.2">
      <c r="A365" s="65">
        <f t="shared" si="41"/>
        <v>284</v>
      </c>
      <c r="B365" s="118" t="s">
        <v>16</v>
      </c>
      <c r="C365" s="262">
        <v>2014</v>
      </c>
      <c r="D365" s="261">
        <v>480000</v>
      </c>
      <c r="E365" s="88">
        <v>36000</v>
      </c>
      <c r="F365" s="88">
        <f t="shared" si="42"/>
        <v>516000</v>
      </c>
      <c r="G365" s="261">
        <v>0</v>
      </c>
      <c r="H365" s="261">
        <v>0</v>
      </c>
      <c r="I365" s="88">
        <v>0</v>
      </c>
      <c r="J365" s="88">
        <f t="shared" si="43"/>
        <v>26630329.296133026</v>
      </c>
      <c r="K365" s="88">
        <f t="shared" si="44"/>
        <v>15135907.550000006</v>
      </c>
    </row>
    <row r="366" spans="1:11" s="248" customFormat="1" x14ac:dyDescent="0.2">
      <c r="A366" s="65">
        <f t="shared" si="41"/>
        <v>285</v>
      </c>
      <c r="B366" s="118" t="s">
        <v>18</v>
      </c>
      <c r="C366" s="262">
        <v>2014</v>
      </c>
      <c r="D366" s="261">
        <v>480000</v>
      </c>
      <c r="E366" s="88">
        <v>36000</v>
      </c>
      <c r="F366" s="88">
        <f t="shared" si="42"/>
        <v>516000</v>
      </c>
      <c r="G366" s="261">
        <v>0</v>
      </c>
      <c r="H366" s="261">
        <v>0</v>
      </c>
      <c r="I366" s="88">
        <v>0</v>
      </c>
      <c r="J366" s="88">
        <f t="shared" si="43"/>
        <v>27146329.296133026</v>
      </c>
      <c r="K366" s="88">
        <f t="shared" si="44"/>
        <v>15651907.550000006</v>
      </c>
    </row>
    <row r="367" spans="1:11" s="248" customFormat="1" x14ac:dyDescent="0.2">
      <c r="A367" s="65">
        <f t="shared" si="41"/>
        <v>286</v>
      </c>
      <c r="B367" s="118" t="s">
        <v>17</v>
      </c>
      <c r="C367" s="262">
        <v>2014</v>
      </c>
      <c r="D367" s="261">
        <v>480000</v>
      </c>
      <c r="E367" s="88">
        <v>36000</v>
      </c>
      <c r="F367" s="88">
        <f t="shared" si="42"/>
        <v>516000</v>
      </c>
      <c r="G367" s="261">
        <v>0</v>
      </c>
      <c r="H367" s="261">
        <v>0</v>
      </c>
      <c r="I367" s="88">
        <v>0</v>
      </c>
      <c r="J367" s="88">
        <f t="shared" si="43"/>
        <v>27662329.296133026</v>
      </c>
      <c r="K367" s="88">
        <f t="shared" si="44"/>
        <v>16167907.550000006</v>
      </c>
    </row>
    <row r="368" spans="1:11" s="248" customFormat="1" x14ac:dyDescent="0.2">
      <c r="A368" s="65">
        <f t="shared" si="41"/>
        <v>287</v>
      </c>
      <c r="B368" s="118" t="s">
        <v>9</v>
      </c>
      <c r="C368" s="262">
        <v>2014</v>
      </c>
      <c r="D368" s="261">
        <v>1140000</v>
      </c>
      <c r="E368" s="88">
        <v>85500</v>
      </c>
      <c r="F368" s="88">
        <f t="shared" si="42"/>
        <v>1225500</v>
      </c>
      <c r="G368" s="261">
        <v>0</v>
      </c>
      <c r="H368" s="261">
        <v>0</v>
      </c>
      <c r="I368" s="88">
        <v>0</v>
      </c>
      <c r="J368" s="88">
        <f t="shared" si="43"/>
        <v>28887829.296133026</v>
      </c>
      <c r="K368" s="72">
        <f t="shared" si="44"/>
        <v>17393407.550000004</v>
      </c>
    </row>
    <row r="369" spans="1:11" s="248" customFormat="1" x14ac:dyDescent="0.2">
      <c r="A369" s="65">
        <f t="shared" si="41"/>
        <v>288</v>
      </c>
      <c r="B369"/>
      <c r="C369" s="259" t="s">
        <v>343</v>
      </c>
      <c r="D369"/>
      <c r="E369"/>
      <c r="F369"/>
      <c r="G369"/>
      <c r="H369"/>
      <c r="I369"/>
      <c r="J369"/>
      <c r="K369" s="258">
        <f>AVERAGE(K356:K368)</f>
        <v>13592125.684615392</v>
      </c>
    </row>
    <row r="370" spans="1:11" s="248" customFormat="1" x14ac:dyDescent="0.2">
      <c r="A370" s="65"/>
      <c r="B370"/>
      <c r="C370" s="259"/>
      <c r="D370"/>
      <c r="E370"/>
      <c r="F370"/>
      <c r="G370"/>
      <c r="H370"/>
      <c r="I370"/>
      <c r="J370"/>
      <c r="K370" s="258"/>
    </row>
    <row r="371" spans="1:11" s="248" customFormat="1" x14ac:dyDescent="0.2">
      <c r="B371" s="269" t="s">
        <v>352</v>
      </c>
      <c r="D371" s="268" t="s">
        <v>351</v>
      </c>
      <c r="E371" s="268"/>
      <c r="F371" s="267"/>
    </row>
    <row r="372" spans="1:11" s="248" customFormat="1" x14ac:dyDescent="0.2">
      <c r="A372" s="263"/>
      <c r="B372" s="263"/>
      <c r="C372" s="263"/>
      <c r="D372" s="263" t="s">
        <v>167</v>
      </c>
      <c r="E372" s="263" t="s">
        <v>168</v>
      </c>
      <c r="F372" s="263" t="s">
        <v>184</v>
      </c>
      <c r="G372" s="263" t="s">
        <v>185</v>
      </c>
      <c r="H372" s="263" t="s">
        <v>186</v>
      </c>
      <c r="I372" s="263" t="s">
        <v>187</v>
      </c>
      <c r="J372" s="263" t="s">
        <v>188</v>
      </c>
      <c r="K372" s="263" t="s">
        <v>350</v>
      </c>
    </row>
    <row r="373" spans="1:11" s="248" customFormat="1" ht="38.25" x14ac:dyDescent="0.2">
      <c r="D373" s="265"/>
      <c r="E373" s="264" t="s">
        <v>349</v>
      </c>
      <c r="F373" s="252" t="s">
        <v>348</v>
      </c>
      <c r="G373" s="266"/>
      <c r="H373" s="265"/>
      <c r="I373" s="264" t="s">
        <v>347</v>
      </c>
      <c r="J373" s="264" t="s">
        <v>346</v>
      </c>
      <c r="K373" s="264" t="s">
        <v>345</v>
      </c>
    </row>
    <row r="374" spans="1:11" s="248" customFormat="1" x14ac:dyDescent="0.2">
      <c r="D374" s="265"/>
      <c r="E374" s="264"/>
      <c r="F374" s="252"/>
      <c r="G374" s="127" t="str">
        <f>G51</f>
        <v>Unloaded</v>
      </c>
      <c r="H374" s="265"/>
      <c r="I374" s="264"/>
      <c r="J374" s="264"/>
      <c r="K374" s="264"/>
    </row>
    <row r="375" spans="1:11" s="248" customFormat="1" x14ac:dyDescent="0.2">
      <c r="A375" s="255"/>
      <c r="B375" s="255"/>
      <c r="C375" s="255"/>
      <c r="D375" s="255" t="str">
        <f>D$52</f>
        <v>Forecast</v>
      </c>
      <c r="E375" s="255" t="str">
        <f>E$52</f>
        <v>Corporate</v>
      </c>
      <c r="F375" s="255" t="str">
        <f>F$52</f>
        <v xml:space="preserve">Total </v>
      </c>
      <c r="G375" s="127" t="str">
        <f>G52</f>
        <v>Total</v>
      </c>
      <c r="H375" s="255" t="str">
        <f>H$52</f>
        <v>Prior Period</v>
      </c>
      <c r="I375" s="255" t="str">
        <f>I$52</f>
        <v>Over Heads</v>
      </c>
      <c r="J375" s="255" t="str">
        <f>J$52</f>
        <v>Forecast</v>
      </c>
      <c r="K375" s="255" t="str">
        <f>K$52</f>
        <v>Forecast Period</v>
      </c>
    </row>
    <row r="376" spans="1:11" s="248" customFormat="1" x14ac:dyDescent="0.2">
      <c r="A376" s="102" t="s">
        <v>170</v>
      </c>
      <c r="B376" s="128" t="s">
        <v>19</v>
      </c>
      <c r="C376" s="128" t="s">
        <v>20</v>
      </c>
      <c r="D376" s="263" t="str">
        <f>D$53</f>
        <v>Expenditures</v>
      </c>
      <c r="E376" s="263" t="str">
        <f>E$53</f>
        <v>Overheads</v>
      </c>
      <c r="F376" s="263" t="str">
        <f>F$53</f>
        <v>CWIP Exp</v>
      </c>
      <c r="G376" s="129" t="str">
        <f>G53</f>
        <v>Plant Adds</v>
      </c>
      <c r="H376" s="263" t="str">
        <f>H$53</f>
        <v>CWIP Closed</v>
      </c>
      <c r="I376" s="263" t="str">
        <f>I$53</f>
        <v>Closed to PIS</v>
      </c>
      <c r="J376" s="263" t="str">
        <f>J$53</f>
        <v>Period CWIP</v>
      </c>
      <c r="K376" s="263" t="str">
        <f>K$53</f>
        <v>Incremental CWIP</v>
      </c>
    </row>
    <row r="377" spans="1:11" s="248" customFormat="1" x14ac:dyDescent="0.2">
      <c r="A377" s="65">
        <f>A369+1</f>
        <v>289</v>
      </c>
      <c r="B377" s="130" t="s">
        <v>9</v>
      </c>
      <c r="C377" s="262">
        <v>2012</v>
      </c>
      <c r="D377" s="252" t="s">
        <v>344</v>
      </c>
      <c r="E377" s="252" t="s">
        <v>344</v>
      </c>
      <c r="F377" s="252" t="s">
        <v>344</v>
      </c>
      <c r="G377" s="252" t="s">
        <v>344</v>
      </c>
      <c r="H377" s="252" t="s">
        <v>344</v>
      </c>
      <c r="I377" s="252" t="s">
        <v>344</v>
      </c>
      <c r="J377" s="88">
        <v>0</v>
      </c>
      <c r="K377" s="252" t="s">
        <v>344</v>
      </c>
    </row>
    <row r="378" spans="1:11" s="248" customFormat="1" x14ac:dyDescent="0.2">
      <c r="A378" s="65">
        <f t="shared" ref="A378:A402" si="45">A377+1</f>
        <v>290</v>
      </c>
      <c r="B378" s="130" t="s">
        <v>10</v>
      </c>
      <c r="C378" s="262">
        <v>2013</v>
      </c>
      <c r="D378" s="261"/>
      <c r="E378" s="88">
        <v>0</v>
      </c>
      <c r="F378" s="88">
        <f t="shared" ref="F378:F401" si="46">E378+D378</f>
        <v>0</v>
      </c>
      <c r="G378" s="261"/>
      <c r="H378" s="261"/>
      <c r="I378" s="88">
        <v>0</v>
      </c>
      <c r="J378" s="88">
        <f t="shared" ref="J378:J401" si="47">J377+F378-G378-I378</f>
        <v>0</v>
      </c>
      <c r="K378" s="88">
        <f t="shared" ref="K378:K401" si="48">J378-$J$377</f>
        <v>0</v>
      </c>
    </row>
    <row r="379" spans="1:11" s="248" customFormat="1" x14ac:dyDescent="0.2">
      <c r="A379" s="65">
        <f t="shared" si="45"/>
        <v>291</v>
      </c>
      <c r="B379" s="118" t="s">
        <v>11</v>
      </c>
      <c r="C379" s="262">
        <v>2013</v>
      </c>
      <c r="D379" s="261"/>
      <c r="E379" s="88">
        <v>0</v>
      </c>
      <c r="F379" s="88">
        <f t="shared" si="46"/>
        <v>0</v>
      </c>
      <c r="G379" s="261"/>
      <c r="H379" s="261"/>
      <c r="I379" s="88">
        <v>0</v>
      </c>
      <c r="J379" s="88">
        <f t="shared" si="47"/>
        <v>0</v>
      </c>
      <c r="K379" s="88">
        <f t="shared" si="48"/>
        <v>0</v>
      </c>
    </row>
    <row r="380" spans="1:11" s="248" customFormat="1" x14ac:dyDescent="0.2">
      <c r="A380" s="65">
        <f t="shared" si="45"/>
        <v>292</v>
      </c>
      <c r="B380" s="118" t="s">
        <v>21</v>
      </c>
      <c r="C380" s="262">
        <v>2013</v>
      </c>
      <c r="D380" s="261"/>
      <c r="E380" s="88">
        <v>0</v>
      </c>
      <c r="F380" s="88">
        <f t="shared" si="46"/>
        <v>0</v>
      </c>
      <c r="G380" s="261"/>
      <c r="H380" s="261"/>
      <c r="I380" s="88">
        <v>0</v>
      </c>
      <c r="J380" s="88">
        <f t="shared" si="47"/>
        <v>0</v>
      </c>
      <c r="K380" s="88">
        <f t="shared" si="48"/>
        <v>0</v>
      </c>
    </row>
    <row r="381" spans="1:11" s="248" customFormat="1" x14ac:dyDescent="0.2">
      <c r="A381" s="65">
        <f t="shared" si="45"/>
        <v>293</v>
      </c>
      <c r="B381" s="130" t="s">
        <v>12</v>
      </c>
      <c r="C381" s="262">
        <v>2013</v>
      </c>
      <c r="D381" s="261"/>
      <c r="E381" s="88">
        <v>0</v>
      </c>
      <c r="F381" s="88">
        <f t="shared" si="46"/>
        <v>0</v>
      </c>
      <c r="G381" s="261"/>
      <c r="H381" s="261"/>
      <c r="I381" s="88">
        <v>0</v>
      </c>
      <c r="J381" s="88">
        <f t="shared" si="47"/>
        <v>0</v>
      </c>
      <c r="K381" s="88">
        <f t="shared" si="48"/>
        <v>0</v>
      </c>
    </row>
    <row r="382" spans="1:11" s="248" customFormat="1" x14ac:dyDescent="0.2">
      <c r="A382" s="65">
        <f t="shared" si="45"/>
        <v>294</v>
      </c>
      <c r="B382" s="118" t="s">
        <v>13</v>
      </c>
      <c r="C382" s="262">
        <v>2013</v>
      </c>
      <c r="D382" s="261"/>
      <c r="E382" s="88">
        <v>0</v>
      </c>
      <c r="F382" s="88">
        <f t="shared" si="46"/>
        <v>0</v>
      </c>
      <c r="G382" s="261"/>
      <c r="H382" s="261"/>
      <c r="I382" s="88">
        <v>0</v>
      </c>
      <c r="J382" s="88">
        <f t="shared" si="47"/>
        <v>0</v>
      </c>
      <c r="K382" s="88">
        <f t="shared" si="48"/>
        <v>0</v>
      </c>
    </row>
    <row r="383" spans="1:11" s="248" customFormat="1" x14ac:dyDescent="0.2">
      <c r="A383" s="65">
        <f t="shared" si="45"/>
        <v>295</v>
      </c>
      <c r="B383" s="118" t="s">
        <v>28</v>
      </c>
      <c r="C383" s="262">
        <v>2013</v>
      </c>
      <c r="D383" s="261"/>
      <c r="E383" s="88">
        <v>0</v>
      </c>
      <c r="F383" s="88">
        <f t="shared" si="46"/>
        <v>0</v>
      </c>
      <c r="G383" s="261"/>
      <c r="H383" s="261"/>
      <c r="I383" s="88">
        <v>0</v>
      </c>
      <c r="J383" s="88">
        <f t="shared" si="47"/>
        <v>0</v>
      </c>
      <c r="K383" s="88">
        <f t="shared" si="48"/>
        <v>0</v>
      </c>
    </row>
    <row r="384" spans="1:11" s="248" customFormat="1" x14ac:dyDescent="0.2">
      <c r="A384" s="65">
        <f t="shared" si="45"/>
        <v>296</v>
      </c>
      <c r="B384" s="130" t="s">
        <v>14</v>
      </c>
      <c r="C384" s="262">
        <v>2013</v>
      </c>
      <c r="D384" s="261"/>
      <c r="E384" s="88">
        <v>0</v>
      </c>
      <c r="F384" s="88">
        <f t="shared" si="46"/>
        <v>0</v>
      </c>
      <c r="G384" s="261"/>
      <c r="H384" s="261"/>
      <c r="I384" s="88">
        <v>0</v>
      </c>
      <c r="J384" s="88">
        <f t="shared" si="47"/>
        <v>0</v>
      </c>
      <c r="K384" s="88">
        <f t="shared" si="48"/>
        <v>0</v>
      </c>
    </row>
    <row r="385" spans="1:11" s="248" customFormat="1" x14ac:dyDescent="0.2">
      <c r="A385" s="65">
        <f t="shared" si="45"/>
        <v>297</v>
      </c>
      <c r="B385" s="118" t="s">
        <v>15</v>
      </c>
      <c r="C385" s="262">
        <v>2013</v>
      </c>
      <c r="D385" s="261"/>
      <c r="E385" s="88">
        <v>0</v>
      </c>
      <c r="F385" s="88">
        <f t="shared" si="46"/>
        <v>0</v>
      </c>
      <c r="G385" s="261"/>
      <c r="H385" s="261"/>
      <c r="I385" s="88">
        <v>0</v>
      </c>
      <c r="J385" s="88">
        <f t="shared" si="47"/>
        <v>0</v>
      </c>
      <c r="K385" s="88">
        <f t="shared" si="48"/>
        <v>0</v>
      </c>
    </row>
    <row r="386" spans="1:11" s="248" customFormat="1" x14ac:dyDescent="0.2">
      <c r="A386" s="65">
        <f t="shared" si="45"/>
        <v>298</v>
      </c>
      <c r="B386" s="118" t="s">
        <v>16</v>
      </c>
      <c r="C386" s="262">
        <v>2013</v>
      </c>
      <c r="D386" s="261"/>
      <c r="E386" s="88">
        <v>0</v>
      </c>
      <c r="F386" s="88">
        <f t="shared" si="46"/>
        <v>0</v>
      </c>
      <c r="G386" s="261"/>
      <c r="H386" s="261"/>
      <c r="I386" s="88">
        <v>0</v>
      </c>
      <c r="J386" s="88">
        <f t="shared" si="47"/>
        <v>0</v>
      </c>
      <c r="K386" s="88">
        <f t="shared" si="48"/>
        <v>0</v>
      </c>
    </row>
    <row r="387" spans="1:11" s="248" customFormat="1" x14ac:dyDescent="0.2">
      <c r="A387" s="65">
        <f t="shared" si="45"/>
        <v>299</v>
      </c>
      <c r="B387" s="130" t="s">
        <v>18</v>
      </c>
      <c r="C387" s="262">
        <v>2013</v>
      </c>
      <c r="D387" s="261"/>
      <c r="E387" s="88">
        <v>0</v>
      </c>
      <c r="F387" s="88">
        <f t="shared" si="46"/>
        <v>0</v>
      </c>
      <c r="G387" s="261"/>
      <c r="H387" s="261"/>
      <c r="I387" s="88">
        <v>0</v>
      </c>
      <c r="J387" s="88">
        <f t="shared" si="47"/>
        <v>0</v>
      </c>
      <c r="K387" s="88">
        <f t="shared" si="48"/>
        <v>0</v>
      </c>
    </row>
    <row r="388" spans="1:11" s="248" customFormat="1" x14ac:dyDescent="0.2">
      <c r="A388" s="65">
        <f t="shared" si="45"/>
        <v>300</v>
      </c>
      <c r="B388" s="130" t="s">
        <v>17</v>
      </c>
      <c r="C388" s="262">
        <v>2013</v>
      </c>
      <c r="D388" s="261"/>
      <c r="E388" s="88">
        <v>0</v>
      </c>
      <c r="F388" s="88">
        <f t="shared" si="46"/>
        <v>0</v>
      </c>
      <c r="G388" s="261"/>
      <c r="H388" s="261"/>
      <c r="I388" s="88">
        <v>0</v>
      </c>
      <c r="J388" s="88">
        <f t="shared" si="47"/>
        <v>0</v>
      </c>
      <c r="K388" s="88">
        <f t="shared" si="48"/>
        <v>0</v>
      </c>
    </row>
    <row r="389" spans="1:11" s="248" customFormat="1" x14ac:dyDescent="0.2">
      <c r="A389" s="65">
        <f t="shared" si="45"/>
        <v>301</v>
      </c>
      <c r="B389" s="130" t="s">
        <v>9</v>
      </c>
      <c r="C389" s="262">
        <v>2013</v>
      </c>
      <c r="D389" s="261"/>
      <c r="E389" s="88">
        <v>0</v>
      </c>
      <c r="F389" s="88">
        <f t="shared" si="46"/>
        <v>0</v>
      </c>
      <c r="G389" s="261"/>
      <c r="H389" s="261"/>
      <c r="I389" s="88">
        <v>0</v>
      </c>
      <c r="J389" s="88">
        <f t="shared" si="47"/>
        <v>0</v>
      </c>
      <c r="K389" s="88">
        <f t="shared" si="48"/>
        <v>0</v>
      </c>
    </row>
    <row r="390" spans="1:11" s="248" customFormat="1" x14ac:dyDescent="0.2">
      <c r="A390" s="65">
        <f t="shared" si="45"/>
        <v>302</v>
      </c>
      <c r="B390" s="130" t="s">
        <v>10</v>
      </c>
      <c r="C390" s="262">
        <v>2014</v>
      </c>
      <c r="D390" s="261"/>
      <c r="E390" s="88">
        <v>0</v>
      </c>
      <c r="F390" s="88">
        <f t="shared" si="46"/>
        <v>0</v>
      </c>
      <c r="G390" s="261"/>
      <c r="H390" s="261"/>
      <c r="I390" s="88">
        <v>0</v>
      </c>
      <c r="J390" s="88">
        <f t="shared" si="47"/>
        <v>0</v>
      </c>
      <c r="K390" s="88">
        <f t="shared" si="48"/>
        <v>0</v>
      </c>
    </row>
    <row r="391" spans="1:11" s="248" customFormat="1" x14ac:dyDescent="0.2">
      <c r="A391" s="65">
        <f t="shared" si="45"/>
        <v>303</v>
      </c>
      <c r="B391" s="118" t="s">
        <v>11</v>
      </c>
      <c r="C391" s="262">
        <v>2014</v>
      </c>
      <c r="D391" s="261"/>
      <c r="E391" s="88">
        <v>0</v>
      </c>
      <c r="F391" s="88">
        <f t="shared" si="46"/>
        <v>0</v>
      </c>
      <c r="G391" s="261"/>
      <c r="H391" s="261"/>
      <c r="I391" s="88">
        <v>0</v>
      </c>
      <c r="J391" s="88">
        <f t="shared" si="47"/>
        <v>0</v>
      </c>
      <c r="K391" s="88">
        <f t="shared" si="48"/>
        <v>0</v>
      </c>
    </row>
    <row r="392" spans="1:11" s="248" customFormat="1" x14ac:dyDescent="0.2">
      <c r="A392" s="65">
        <f t="shared" si="45"/>
        <v>304</v>
      </c>
      <c r="B392" s="118" t="s">
        <v>21</v>
      </c>
      <c r="C392" s="262">
        <v>2014</v>
      </c>
      <c r="D392" s="261"/>
      <c r="E392" s="88">
        <v>0</v>
      </c>
      <c r="F392" s="88">
        <f t="shared" si="46"/>
        <v>0</v>
      </c>
      <c r="G392" s="261"/>
      <c r="H392" s="261"/>
      <c r="I392" s="88">
        <v>0</v>
      </c>
      <c r="J392" s="88">
        <f t="shared" si="47"/>
        <v>0</v>
      </c>
      <c r="K392" s="88">
        <f t="shared" si="48"/>
        <v>0</v>
      </c>
    </row>
    <row r="393" spans="1:11" s="248" customFormat="1" x14ac:dyDescent="0.2">
      <c r="A393" s="65">
        <f t="shared" si="45"/>
        <v>305</v>
      </c>
      <c r="B393" s="130" t="s">
        <v>12</v>
      </c>
      <c r="C393" s="262">
        <v>2014</v>
      </c>
      <c r="D393" s="261"/>
      <c r="E393" s="88">
        <v>0</v>
      </c>
      <c r="F393" s="88">
        <f t="shared" si="46"/>
        <v>0</v>
      </c>
      <c r="G393" s="261"/>
      <c r="H393" s="261"/>
      <c r="I393" s="88">
        <v>0</v>
      </c>
      <c r="J393" s="88">
        <f t="shared" si="47"/>
        <v>0</v>
      </c>
      <c r="K393" s="88">
        <f t="shared" si="48"/>
        <v>0</v>
      </c>
    </row>
    <row r="394" spans="1:11" s="248" customFormat="1" x14ac:dyDescent="0.2">
      <c r="A394" s="65">
        <f t="shared" si="45"/>
        <v>306</v>
      </c>
      <c r="B394" s="118" t="s">
        <v>13</v>
      </c>
      <c r="C394" s="262">
        <v>2014</v>
      </c>
      <c r="D394" s="261"/>
      <c r="E394" s="88">
        <v>0</v>
      </c>
      <c r="F394" s="88">
        <f t="shared" si="46"/>
        <v>0</v>
      </c>
      <c r="G394" s="261"/>
      <c r="H394" s="261"/>
      <c r="I394" s="88">
        <v>0</v>
      </c>
      <c r="J394" s="88">
        <f t="shared" si="47"/>
        <v>0</v>
      </c>
      <c r="K394" s="88">
        <f t="shared" si="48"/>
        <v>0</v>
      </c>
    </row>
    <row r="395" spans="1:11" s="248" customFormat="1" x14ac:dyDescent="0.2">
      <c r="A395" s="65">
        <f t="shared" si="45"/>
        <v>307</v>
      </c>
      <c r="B395" s="118" t="s">
        <v>28</v>
      </c>
      <c r="C395" s="262">
        <v>2014</v>
      </c>
      <c r="D395" s="261"/>
      <c r="E395" s="88">
        <v>0</v>
      </c>
      <c r="F395" s="88">
        <f t="shared" si="46"/>
        <v>0</v>
      </c>
      <c r="G395" s="261"/>
      <c r="H395" s="261"/>
      <c r="I395" s="88">
        <v>0</v>
      </c>
      <c r="J395" s="88">
        <f t="shared" si="47"/>
        <v>0</v>
      </c>
      <c r="K395" s="88">
        <f t="shared" si="48"/>
        <v>0</v>
      </c>
    </row>
    <row r="396" spans="1:11" s="248" customFormat="1" x14ac:dyDescent="0.2">
      <c r="A396" s="65">
        <f t="shared" si="45"/>
        <v>308</v>
      </c>
      <c r="B396" s="130" t="s">
        <v>14</v>
      </c>
      <c r="C396" s="262">
        <v>2014</v>
      </c>
      <c r="D396" s="261"/>
      <c r="E396" s="88">
        <v>0</v>
      </c>
      <c r="F396" s="88">
        <f t="shared" si="46"/>
        <v>0</v>
      </c>
      <c r="G396" s="261"/>
      <c r="H396" s="261"/>
      <c r="I396" s="88">
        <v>0</v>
      </c>
      <c r="J396" s="88">
        <f t="shared" si="47"/>
        <v>0</v>
      </c>
      <c r="K396" s="88">
        <f t="shared" si="48"/>
        <v>0</v>
      </c>
    </row>
    <row r="397" spans="1:11" s="248" customFormat="1" x14ac:dyDescent="0.2">
      <c r="A397" s="65">
        <f t="shared" si="45"/>
        <v>309</v>
      </c>
      <c r="B397" s="118" t="s">
        <v>15</v>
      </c>
      <c r="C397" s="262">
        <v>2014</v>
      </c>
      <c r="D397" s="261"/>
      <c r="E397" s="88">
        <v>0</v>
      </c>
      <c r="F397" s="88">
        <f t="shared" si="46"/>
        <v>0</v>
      </c>
      <c r="G397" s="261"/>
      <c r="H397" s="261"/>
      <c r="I397" s="88">
        <v>0</v>
      </c>
      <c r="J397" s="88">
        <f t="shared" si="47"/>
        <v>0</v>
      </c>
      <c r="K397" s="88">
        <f t="shared" si="48"/>
        <v>0</v>
      </c>
    </row>
    <row r="398" spans="1:11" s="248" customFormat="1" x14ac:dyDescent="0.2">
      <c r="A398" s="65">
        <f t="shared" si="45"/>
        <v>310</v>
      </c>
      <c r="B398" s="118" t="s">
        <v>16</v>
      </c>
      <c r="C398" s="262">
        <v>2014</v>
      </c>
      <c r="D398" s="261"/>
      <c r="E398" s="88">
        <v>0</v>
      </c>
      <c r="F398" s="88">
        <f t="shared" si="46"/>
        <v>0</v>
      </c>
      <c r="G398" s="261"/>
      <c r="H398" s="261"/>
      <c r="I398" s="88">
        <v>0</v>
      </c>
      <c r="J398" s="88">
        <f t="shared" si="47"/>
        <v>0</v>
      </c>
      <c r="K398" s="88">
        <f t="shared" si="48"/>
        <v>0</v>
      </c>
    </row>
    <row r="399" spans="1:11" s="248" customFormat="1" x14ac:dyDescent="0.2">
      <c r="A399" s="65">
        <f t="shared" si="45"/>
        <v>311</v>
      </c>
      <c r="B399" s="118" t="s">
        <v>18</v>
      </c>
      <c r="C399" s="262">
        <v>2014</v>
      </c>
      <c r="D399" s="261"/>
      <c r="E399" s="88">
        <v>0</v>
      </c>
      <c r="F399" s="88">
        <f t="shared" si="46"/>
        <v>0</v>
      </c>
      <c r="G399" s="261"/>
      <c r="H399" s="261"/>
      <c r="I399" s="88">
        <v>0</v>
      </c>
      <c r="J399" s="88">
        <f t="shared" si="47"/>
        <v>0</v>
      </c>
      <c r="K399" s="88">
        <f t="shared" si="48"/>
        <v>0</v>
      </c>
    </row>
    <row r="400" spans="1:11" s="248" customFormat="1" x14ac:dyDescent="0.2">
      <c r="A400" s="65">
        <f t="shared" si="45"/>
        <v>312</v>
      </c>
      <c r="B400" s="118" t="s">
        <v>17</v>
      </c>
      <c r="C400" s="262">
        <v>2014</v>
      </c>
      <c r="D400" s="261"/>
      <c r="E400" s="88">
        <v>0</v>
      </c>
      <c r="F400" s="88">
        <f t="shared" si="46"/>
        <v>0</v>
      </c>
      <c r="G400" s="261"/>
      <c r="H400" s="261"/>
      <c r="I400" s="88">
        <v>0</v>
      </c>
      <c r="J400" s="88">
        <f t="shared" si="47"/>
        <v>0</v>
      </c>
      <c r="K400" s="88">
        <f t="shared" si="48"/>
        <v>0</v>
      </c>
    </row>
    <row r="401" spans="1:11" s="248" customFormat="1" x14ac:dyDescent="0.2">
      <c r="A401" s="65">
        <f t="shared" si="45"/>
        <v>313</v>
      </c>
      <c r="B401" s="118" t="s">
        <v>9</v>
      </c>
      <c r="C401" s="262">
        <v>2014</v>
      </c>
      <c r="D401" s="261"/>
      <c r="E401" s="88">
        <v>0</v>
      </c>
      <c r="F401" s="88">
        <f t="shared" si="46"/>
        <v>0</v>
      </c>
      <c r="G401" s="261"/>
      <c r="H401" s="261"/>
      <c r="I401" s="88">
        <v>0</v>
      </c>
      <c r="J401" s="88">
        <f t="shared" si="47"/>
        <v>0</v>
      </c>
      <c r="K401" s="260">
        <f t="shared" si="48"/>
        <v>0</v>
      </c>
    </row>
    <row r="402" spans="1:11" s="248" customFormat="1" x14ac:dyDescent="0.2">
      <c r="A402" s="65">
        <f t="shared" si="45"/>
        <v>314</v>
      </c>
      <c r="B402"/>
      <c r="C402" s="259" t="s">
        <v>343</v>
      </c>
      <c r="H402" s="252"/>
      <c r="I402" s="252"/>
      <c r="K402" s="258">
        <f>AVERAGE(K389:K401)</f>
        <v>0</v>
      </c>
    </row>
    <row r="403" spans="1:11" s="248" customFormat="1" x14ac:dyDescent="0.2">
      <c r="A403" s="65"/>
      <c r="B403"/>
      <c r="C403" s="259"/>
      <c r="H403" s="252"/>
      <c r="I403" s="252"/>
      <c r="K403" s="258"/>
    </row>
    <row r="404" spans="1:11" s="248" customFormat="1" x14ac:dyDescent="0.2">
      <c r="A404" s="65"/>
      <c r="B404"/>
      <c r="C404" s="259"/>
      <c r="H404" s="252"/>
      <c r="I404" s="252"/>
      <c r="K404" s="258"/>
    </row>
    <row r="405" spans="1:11" s="248" customFormat="1" x14ac:dyDescent="0.2">
      <c r="A405" s="255"/>
      <c r="B405" s="74" t="s">
        <v>342</v>
      </c>
      <c r="C405"/>
      <c r="D405"/>
      <c r="E405"/>
      <c r="F405"/>
      <c r="G405"/>
      <c r="H405"/>
      <c r="I405"/>
    </row>
    <row r="406" spans="1:11" s="248" customFormat="1" x14ac:dyDescent="0.2">
      <c r="A406" s="255"/>
      <c r="B406" s="118" t="s">
        <v>341</v>
      </c>
    </row>
    <row r="407" spans="1:11" s="248" customFormat="1" x14ac:dyDescent="0.2">
      <c r="A407" s="255"/>
      <c r="B407" s="118" t="s">
        <v>340</v>
      </c>
      <c r="C407"/>
      <c r="D407"/>
      <c r="E407"/>
      <c r="F407"/>
      <c r="G407"/>
      <c r="H407"/>
      <c r="I407"/>
    </row>
    <row r="408" spans="1:11" s="248" customFormat="1" x14ac:dyDescent="0.2">
      <c r="A408" s="255"/>
      <c r="C408"/>
      <c r="D408"/>
      <c r="E408"/>
      <c r="F408"/>
      <c r="G408"/>
      <c r="H408"/>
      <c r="I408"/>
    </row>
    <row r="409" spans="1:11" s="248" customFormat="1" x14ac:dyDescent="0.2">
      <c r="A409" s="255"/>
      <c r="B409" s="56" t="s">
        <v>118</v>
      </c>
      <c r="C409"/>
      <c r="D409"/>
      <c r="E409"/>
      <c r="F409"/>
      <c r="G409"/>
      <c r="H409"/>
      <c r="I409"/>
    </row>
    <row r="410" spans="1:11" s="248" customFormat="1" x14ac:dyDescent="0.2">
      <c r="A410" s="255"/>
      <c r="B410" s="124" t="s">
        <v>339</v>
      </c>
      <c r="C410"/>
      <c r="D410"/>
      <c r="E410"/>
      <c r="F410"/>
      <c r="G410"/>
      <c r="H410"/>
      <c r="I410"/>
    </row>
    <row r="411" spans="1:11" s="248" customFormat="1" x14ac:dyDescent="0.2">
      <c r="A411" s="255"/>
      <c r="B411" s="124" t="s">
        <v>338</v>
      </c>
      <c r="C411"/>
      <c r="D411"/>
      <c r="E411"/>
      <c r="F411"/>
      <c r="G411"/>
      <c r="H411"/>
      <c r="I411"/>
    </row>
    <row r="412" spans="1:11" s="248" customFormat="1" x14ac:dyDescent="0.2">
      <c r="A412" s="255"/>
      <c r="B412" s="68" t="s">
        <v>337</v>
      </c>
      <c r="C412" s="57"/>
      <c r="D412" s="57"/>
      <c r="E412" s="57"/>
      <c r="F412" s="57"/>
      <c r="G412" s="57"/>
      <c r="H412" s="57"/>
      <c r="I412" s="57"/>
    </row>
    <row r="413" spans="1:11" s="248" customFormat="1" x14ac:dyDescent="0.2">
      <c r="A413" s="255"/>
      <c r="B413" s="70"/>
      <c r="C413" s="57"/>
      <c r="D413" s="57"/>
      <c r="E413" s="57"/>
      <c r="F413" s="57"/>
      <c r="G413" s="57"/>
      <c r="H413" s="57"/>
      <c r="I413" s="57"/>
    </row>
    <row r="414" spans="1:11" s="248" customFormat="1" x14ac:dyDescent="0.2">
      <c r="A414" s="255"/>
      <c r="B414" s="118"/>
      <c r="C414" s="257"/>
      <c r="H414" s="252"/>
      <c r="I414" s="252"/>
    </row>
    <row r="415" spans="1:11" s="248" customFormat="1" x14ac:dyDescent="0.2">
      <c r="A415" s="255"/>
      <c r="B415" s="118"/>
      <c r="C415" s="257"/>
      <c r="H415" s="252"/>
      <c r="I415" s="252"/>
    </row>
    <row r="416" spans="1:11" s="248" customFormat="1" x14ac:dyDescent="0.2">
      <c r="A416" s="255"/>
      <c r="B416" s="118"/>
      <c r="C416" s="257"/>
      <c r="H416" s="252"/>
      <c r="I416" s="252"/>
    </row>
    <row r="417" spans="1:11" s="248" customFormat="1" x14ac:dyDescent="0.2">
      <c r="A417" s="255"/>
      <c r="B417" s="118"/>
      <c r="C417" s="257"/>
      <c r="H417" s="252"/>
      <c r="I417" s="252"/>
    </row>
    <row r="418" spans="1:11" s="248" customFormat="1" x14ac:dyDescent="0.2">
      <c r="A418" s="255"/>
      <c r="B418" s="118"/>
      <c r="C418" s="257"/>
      <c r="D418" s="256"/>
      <c r="E418" s="256"/>
      <c r="F418" s="256"/>
      <c r="G418" s="256"/>
      <c r="H418" s="252"/>
      <c r="I418" s="252"/>
    </row>
    <row r="419" spans="1:11" s="248" customFormat="1" x14ac:dyDescent="0.2">
      <c r="A419" s="255"/>
      <c r="C419" s="254"/>
      <c r="D419" s="253"/>
      <c r="E419" s="253"/>
      <c r="F419" s="253"/>
      <c r="G419" s="253"/>
      <c r="H419" s="252"/>
      <c r="I419" s="252"/>
    </row>
    <row r="420" spans="1:11" s="248" customFormat="1" x14ac:dyDescent="0.2"/>
    <row r="421" spans="1:11" s="248" customFormat="1" x14ac:dyDescent="0.2">
      <c r="B421" s="74"/>
    </row>
    <row r="422" spans="1:11" s="248" customFormat="1" x14ac:dyDescent="0.2">
      <c r="B422" s="118"/>
    </row>
    <row r="423" spans="1:11" x14ac:dyDescent="0.2">
      <c r="A423" s="248"/>
      <c r="B423" s="248"/>
      <c r="C423" s="248"/>
      <c r="D423" s="248"/>
      <c r="E423" s="248"/>
      <c r="F423" s="248"/>
      <c r="G423" s="248"/>
      <c r="H423" s="248"/>
      <c r="I423" s="248"/>
      <c r="J423" s="248"/>
      <c r="K423" s="248"/>
    </row>
    <row r="424" spans="1:11" x14ac:dyDescent="0.2">
      <c r="A424" s="248"/>
      <c r="B424" s="251"/>
      <c r="C424" s="248"/>
      <c r="D424" s="248"/>
      <c r="E424" s="248"/>
      <c r="F424" s="248"/>
      <c r="G424" s="248"/>
      <c r="H424" s="248"/>
      <c r="I424" s="248"/>
      <c r="J424" s="248"/>
      <c r="K424" s="248"/>
    </row>
    <row r="425" spans="1:11" x14ac:dyDescent="0.2">
      <c r="A425" s="248"/>
      <c r="B425" s="250"/>
      <c r="C425" s="248"/>
      <c r="D425" s="248"/>
      <c r="E425" s="248"/>
      <c r="F425" s="248"/>
      <c r="G425" s="248"/>
      <c r="H425" s="248"/>
      <c r="I425" s="248"/>
      <c r="J425" s="248"/>
      <c r="K425" s="248"/>
    </row>
    <row r="426" spans="1:11" x14ac:dyDescent="0.2">
      <c r="A426" s="248"/>
      <c r="B426" s="250"/>
      <c r="C426" s="248"/>
      <c r="D426" s="248"/>
      <c r="E426" s="248"/>
      <c r="F426" s="248"/>
      <c r="G426" s="248"/>
      <c r="H426" s="248"/>
      <c r="I426" s="248"/>
      <c r="J426" s="248"/>
      <c r="K426" s="248"/>
    </row>
    <row r="427" spans="1:11" x14ac:dyDescent="0.2">
      <c r="A427" s="248"/>
      <c r="B427" s="250"/>
      <c r="C427" s="248"/>
      <c r="D427" s="248"/>
      <c r="E427" s="248"/>
      <c r="F427" s="248"/>
      <c r="G427" s="248"/>
      <c r="H427" s="248"/>
      <c r="I427" s="248"/>
      <c r="J427" s="248"/>
      <c r="K427" s="248"/>
    </row>
    <row r="428" spans="1:11" x14ac:dyDescent="0.2">
      <c r="A428" s="248"/>
      <c r="B428" s="249"/>
      <c r="C428" s="248"/>
      <c r="D428" s="248"/>
      <c r="E428" s="248"/>
      <c r="F428" s="248"/>
      <c r="G428" s="248"/>
      <c r="H428" s="248"/>
      <c r="I428" s="248"/>
      <c r="J428" s="248"/>
      <c r="K428" s="248"/>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2012 True Up TRR)&amp;RTO10 Draft Annual Update
Attachment 4
WP-Schedule 3-One Time Adj &amp; True Up Adj
Page &amp;P of &amp;N</oddHeader>
    <oddFooter>&amp;R&amp;A</oddFooter>
  </headerFooter>
  <rowBreaks count="6" manualBreakCount="6">
    <brk id="47" max="16383" man="1"/>
    <brk id="113" max="10" man="1"/>
    <brk id="177" max="10" man="1"/>
    <brk id="241" max="10" man="1"/>
    <brk id="305" max="10" man="1"/>
    <brk id="369"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AN204"/>
  <sheetViews>
    <sheetView zoomScaleNormal="100" workbookViewId="0"/>
  </sheetViews>
  <sheetFormatPr defaultColWidth="9.140625" defaultRowHeight="12.75" x14ac:dyDescent="0.2"/>
  <cols>
    <col min="1" max="1" width="4.7109375" style="315" customWidth="1"/>
    <col min="2" max="2" width="6" style="315" customWidth="1"/>
    <col min="3" max="3" width="15.7109375" style="315" customWidth="1"/>
    <col min="4" max="4" width="9.140625" style="315" customWidth="1"/>
    <col min="5" max="6" width="14.7109375" style="315" customWidth="1"/>
    <col min="7" max="7" width="16" style="315" bestFit="1" customWidth="1"/>
    <col min="8" max="8" width="18.28515625" style="315" customWidth="1"/>
    <col min="9" max="10" width="15.7109375" style="315" customWidth="1"/>
    <col min="11" max="11" width="16.85546875" style="315" customWidth="1"/>
    <col min="12" max="16" width="15.7109375" style="315" customWidth="1"/>
    <col min="17" max="17" width="2.85546875" style="315" customWidth="1"/>
    <col min="18" max="21" width="18.7109375" style="315" customWidth="1"/>
    <col min="22" max="22" width="15.7109375" style="315" customWidth="1"/>
    <col min="23" max="23" width="20.85546875" style="315" bestFit="1" customWidth="1"/>
    <col min="24" max="40" width="15.7109375" style="315" customWidth="1"/>
    <col min="41" max="16384" width="9.140625" style="315"/>
  </cols>
  <sheetData>
    <row r="1" spans="1:40" x14ac:dyDescent="0.2">
      <c r="A1" s="145" t="s">
        <v>417</v>
      </c>
    </row>
    <row r="2" spans="1:40" x14ac:dyDescent="0.2">
      <c r="F2" s="316" t="s">
        <v>418</v>
      </c>
      <c r="G2" s="316"/>
    </row>
    <row r="3" spans="1:40" x14ac:dyDescent="0.2">
      <c r="B3" s="146" t="s">
        <v>419</v>
      </c>
    </row>
    <row r="4" spans="1:40" x14ac:dyDescent="0.2">
      <c r="B4" s="146" t="s">
        <v>420</v>
      </c>
    </row>
    <row r="5" spans="1:40" x14ac:dyDescent="0.2">
      <c r="B5" s="146" t="s">
        <v>421</v>
      </c>
    </row>
    <row r="6" spans="1:40" x14ac:dyDescent="0.2">
      <c r="B6" s="146"/>
    </row>
    <row r="7" spans="1:40" x14ac:dyDescent="0.2">
      <c r="B7" s="145" t="s">
        <v>422</v>
      </c>
      <c r="H7" s="146"/>
      <c r="I7" s="146"/>
    </row>
    <row r="8" spans="1:40" x14ac:dyDescent="0.2">
      <c r="B8" s="146"/>
      <c r="E8" s="317" t="s">
        <v>167</v>
      </c>
      <c r="F8" s="317" t="s">
        <v>168</v>
      </c>
      <c r="G8" s="317" t="s">
        <v>184</v>
      </c>
      <c r="H8" s="317" t="s">
        <v>185</v>
      </c>
      <c r="I8" s="317" t="s">
        <v>186</v>
      </c>
      <c r="J8" s="317" t="s">
        <v>187</v>
      </c>
      <c r="K8" s="317" t="s">
        <v>188</v>
      </c>
      <c r="L8" s="317" t="s">
        <v>350</v>
      </c>
      <c r="M8" s="317" t="s">
        <v>404</v>
      </c>
      <c r="N8" s="317" t="s">
        <v>403</v>
      </c>
      <c r="O8" s="317" t="s">
        <v>402</v>
      </c>
      <c r="P8" s="317" t="s">
        <v>401</v>
      </c>
      <c r="T8" s="317"/>
      <c r="U8" s="317"/>
      <c r="X8" s="318"/>
      <c r="Y8" s="318"/>
      <c r="Z8" s="318"/>
      <c r="AA8" s="318"/>
      <c r="AB8" s="318"/>
      <c r="AC8" s="318"/>
      <c r="AD8" s="318"/>
      <c r="AE8" s="318"/>
      <c r="AF8" s="318"/>
      <c r="AG8" s="318"/>
      <c r="AH8" s="318"/>
      <c r="AI8" s="318"/>
      <c r="AJ8" s="318"/>
      <c r="AK8" s="318"/>
      <c r="AL8" s="318"/>
      <c r="AM8" s="318"/>
      <c r="AN8" s="318"/>
    </row>
    <row r="9" spans="1:40" x14ac:dyDescent="0.2">
      <c r="B9" s="146"/>
      <c r="E9" s="319" t="s">
        <v>293</v>
      </c>
      <c r="F9" s="319" t="s">
        <v>293</v>
      </c>
      <c r="G9" s="319" t="s">
        <v>293</v>
      </c>
      <c r="H9" s="319" t="s">
        <v>293</v>
      </c>
      <c r="I9" s="319" t="s">
        <v>293</v>
      </c>
      <c r="J9" s="319" t="s">
        <v>293</v>
      </c>
      <c r="K9" s="319" t="s">
        <v>293</v>
      </c>
      <c r="L9" s="319" t="s">
        <v>293</v>
      </c>
      <c r="M9" s="319" t="s">
        <v>293</v>
      </c>
      <c r="N9" s="319" t="s">
        <v>293</v>
      </c>
      <c r="O9" s="319" t="s">
        <v>293</v>
      </c>
      <c r="P9" s="319" t="s">
        <v>293</v>
      </c>
      <c r="Q9" s="320"/>
    </row>
    <row r="10" spans="1:40" x14ac:dyDescent="0.2">
      <c r="C10" s="321" t="s">
        <v>382</v>
      </c>
      <c r="E10" s="321" t="s">
        <v>387</v>
      </c>
      <c r="F10" s="321"/>
      <c r="G10" s="321"/>
      <c r="H10" s="322"/>
      <c r="I10" s="322" t="s">
        <v>423</v>
      </c>
      <c r="J10" s="322"/>
      <c r="K10" s="322"/>
      <c r="L10" s="322"/>
      <c r="M10" s="322"/>
      <c r="O10" s="321" t="s">
        <v>387</v>
      </c>
      <c r="P10" s="321" t="s">
        <v>424</v>
      </c>
      <c r="T10" s="322"/>
      <c r="U10" s="322"/>
      <c r="X10" s="322"/>
      <c r="Y10" s="322"/>
      <c r="Z10" s="322"/>
      <c r="AA10" s="322"/>
      <c r="AB10" s="322"/>
      <c r="AC10" s="322"/>
      <c r="AD10" s="322"/>
      <c r="AE10" s="322"/>
      <c r="AF10" s="322"/>
      <c r="AG10" s="322"/>
      <c r="AH10" s="322"/>
      <c r="AI10" s="322"/>
      <c r="AJ10" s="322"/>
      <c r="AK10" s="322"/>
      <c r="AL10" s="322"/>
      <c r="AM10" s="322"/>
      <c r="AN10" s="322"/>
    </row>
    <row r="11" spans="1:40" x14ac:dyDescent="0.2">
      <c r="B11" s="145"/>
      <c r="C11" s="321" t="s">
        <v>425</v>
      </c>
      <c r="E11" s="321" t="s">
        <v>169</v>
      </c>
      <c r="F11" s="321" t="s">
        <v>384</v>
      </c>
      <c r="G11" s="322" t="s">
        <v>383</v>
      </c>
      <c r="H11" s="322" t="s">
        <v>426</v>
      </c>
      <c r="I11" s="322" t="s">
        <v>427</v>
      </c>
      <c r="J11" s="322"/>
      <c r="K11" s="322" t="s">
        <v>428</v>
      </c>
      <c r="L11" s="322" t="s">
        <v>429</v>
      </c>
      <c r="M11" s="322" t="s">
        <v>428</v>
      </c>
      <c r="O11" s="322" t="s">
        <v>430</v>
      </c>
      <c r="P11" s="322" t="s">
        <v>430</v>
      </c>
      <c r="T11" s="322"/>
      <c r="U11" s="322"/>
      <c r="X11" s="322"/>
      <c r="Y11" s="322"/>
      <c r="Z11" s="322"/>
      <c r="AA11" s="322"/>
      <c r="AB11" s="322"/>
      <c r="AC11" s="322"/>
      <c r="AD11" s="322"/>
      <c r="AE11" s="322"/>
      <c r="AF11" s="322"/>
      <c r="AG11" s="322"/>
      <c r="AH11" s="322"/>
      <c r="AI11" s="322"/>
      <c r="AJ11" s="322"/>
      <c r="AK11" s="322"/>
      <c r="AL11" s="322"/>
      <c r="AM11" s="322"/>
      <c r="AN11" s="322"/>
    </row>
    <row r="12" spans="1:40" x14ac:dyDescent="0.2">
      <c r="A12" s="323" t="s">
        <v>170</v>
      </c>
      <c r="C12" s="128" t="s">
        <v>19</v>
      </c>
      <c r="D12" s="128" t="s">
        <v>20</v>
      </c>
      <c r="E12" s="318" t="s">
        <v>359</v>
      </c>
      <c r="F12" s="318" t="s">
        <v>377</v>
      </c>
      <c r="G12" s="324" t="s">
        <v>376</v>
      </c>
      <c r="H12" s="324" t="s">
        <v>431</v>
      </c>
      <c r="I12" s="324" t="s">
        <v>432</v>
      </c>
      <c r="J12" s="324" t="s">
        <v>423</v>
      </c>
      <c r="K12" s="324" t="s">
        <v>433</v>
      </c>
      <c r="L12" s="324" t="s">
        <v>434</v>
      </c>
      <c r="M12" s="324" t="s">
        <v>435</v>
      </c>
      <c r="N12" s="324" t="s">
        <v>436</v>
      </c>
      <c r="O12" s="324" t="s">
        <v>432</v>
      </c>
      <c r="P12" s="324" t="s">
        <v>432</v>
      </c>
      <c r="T12" s="324"/>
      <c r="U12" s="324"/>
      <c r="V12" s="324"/>
      <c r="W12" s="324"/>
      <c r="X12" s="324"/>
      <c r="Y12" s="324"/>
      <c r="Z12" s="324"/>
      <c r="AA12" s="324"/>
      <c r="AB12" s="324"/>
      <c r="AC12" s="324"/>
      <c r="AD12" s="324"/>
      <c r="AE12" s="324"/>
      <c r="AF12" s="324"/>
      <c r="AG12" s="324"/>
      <c r="AH12" s="324"/>
      <c r="AI12" s="324"/>
      <c r="AJ12" s="324"/>
      <c r="AK12" s="324"/>
      <c r="AL12" s="324"/>
      <c r="AM12" s="324"/>
      <c r="AN12" s="324"/>
    </row>
    <row r="13" spans="1:40" x14ac:dyDescent="0.2">
      <c r="A13" s="321">
        <v>1</v>
      </c>
      <c r="C13" s="315" t="str">
        <f>C45</f>
        <v>January</v>
      </c>
      <c r="D13" s="325">
        <f>D45</f>
        <v>2013</v>
      </c>
      <c r="E13" s="326">
        <f t="shared" ref="E13:P28" si="0">E45+E76</f>
        <v>149898114.77707523</v>
      </c>
      <c r="F13" s="326">
        <f t="shared" si="0"/>
        <v>295022532.56000024</v>
      </c>
      <c r="G13" s="326">
        <f t="shared" si="0"/>
        <v>-10884331.333719375</v>
      </c>
      <c r="H13" s="327">
        <f t="shared" si="0"/>
        <v>410125.49950845714</v>
      </c>
      <c r="I13" s="327">
        <f t="shared" si="0"/>
        <v>4716443.2443472566</v>
      </c>
      <c r="J13" s="327">
        <f t="shared" si="0"/>
        <v>141493.2973304177</v>
      </c>
      <c r="K13" s="326">
        <f t="shared" si="0"/>
        <v>138745151.24117783</v>
      </c>
      <c r="L13" s="327">
        <f t="shared" si="0"/>
        <v>0</v>
      </c>
      <c r="M13" s="327">
        <f t="shared" si="0"/>
        <v>0</v>
      </c>
      <c r="N13" s="326">
        <f t="shared" si="0"/>
        <v>138745151.24117783</v>
      </c>
      <c r="O13" s="327">
        <f t="shared" si="0"/>
        <v>0</v>
      </c>
      <c r="P13" s="327">
        <f t="shared" si="0"/>
        <v>0</v>
      </c>
      <c r="T13" s="328"/>
      <c r="U13" s="328"/>
      <c r="V13" s="329"/>
      <c r="W13" s="328"/>
      <c r="X13" s="330"/>
      <c r="Y13" s="331"/>
      <c r="Z13" s="328"/>
      <c r="AA13" s="328"/>
      <c r="AB13" s="328"/>
      <c r="AC13" s="328"/>
      <c r="AD13" s="328"/>
      <c r="AE13" s="328"/>
      <c r="AF13" s="328"/>
      <c r="AG13" s="328"/>
      <c r="AH13" s="328"/>
      <c r="AI13" s="328"/>
      <c r="AJ13" s="328"/>
      <c r="AK13" s="328"/>
      <c r="AL13" s="328"/>
      <c r="AM13" s="328"/>
      <c r="AN13" s="328"/>
    </row>
    <row r="14" spans="1:40" x14ac:dyDescent="0.2">
      <c r="A14" s="321">
        <f>A13+1</f>
        <v>2</v>
      </c>
      <c r="C14" s="315" t="str">
        <f t="shared" ref="C14:D29" si="1">C46</f>
        <v>February</v>
      </c>
      <c r="D14" s="325">
        <f t="shared" si="1"/>
        <v>2013</v>
      </c>
      <c r="E14" s="332">
        <f t="shared" si="0"/>
        <v>30112231.741589688</v>
      </c>
      <c r="F14" s="326">
        <f t="shared" si="0"/>
        <v>24149746.577399962</v>
      </c>
      <c r="G14" s="332">
        <f t="shared" si="0"/>
        <v>447186.38731422956</v>
      </c>
      <c r="H14" s="332">
        <f t="shared" si="0"/>
        <v>512773.72412031662</v>
      </c>
      <c r="I14" s="332">
        <f t="shared" si="0"/>
        <v>5896897.8273836402</v>
      </c>
      <c r="J14" s="332">
        <f t="shared" si="0"/>
        <v>176906.9348215092</v>
      </c>
      <c r="K14" s="332">
        <f t="shared" si="0"/>
        <v>168968702.58078295</v>
      </c>
      <c r="L14" s="326">
        <f t="shared" si="0"/>
        <v>290024.30425587558</v>
      </c>
      <c r="M14" s="326">
        <f t="shared" si="0"/>
        <v>290024.30425587558</v>
      </c>
      <c r="N14" s="332">
        <f t="shared" si="0"/>
        <v>168678678.27652705</v>
      </c>
      <c r="O14" s="327">
        <f t="shared" si="0"/>
        <v>0</v>
      </c>
      <c r="P14" s="327">
        <f t="shared" si="0"/>
        <v>0</v>
      </c>
      <c r="T14" s="328"/>
      <c r="U14" s="328"/>
      <c r="V14" s="329"/>
      <c r="W14" s="328"/>
      <c r="X14" s="330"/>
      <c r="Y14" s="331"/>
      <c r="Z14" s="328"/>
      <c r="AA14" s="328"/>
      <c r="AB14" s="328"/>
      <c r="AC14" s="328"/>
      <c r="AD14" s="328"/>
      <c r="AE14" s="328"/>
      <c r="AF14" s="328"/>
      <c r="AG14" s="328"/>
      <c r="AH14" s="328"/>
      <c r="AI14" s="328"/>
      <c r="AJ14" s="328"/>
      <c r="AK14" s="328"/>
      <c r="AL14" s="328"/>
      <c r="AM14" s="328"/>
      <c r="AN14" s="328"/>
    </row>
    <row r="15" spans="1:40" x14ac:dyDescent="0.2">
      <c r="A15" s="321">
        <f t="shared" ref="A15:A37" si="2">A14+1</f>
        <v>3</v>
      </c>
      <c r="C15" s="315" t="str">
        <f t="shared" si="1"/>
        <v>March</v>
      </c>
      <c r="D15" s="325">
        <f t="shared" si="1"/>
        <v>2013</v>
      </c>
      <c r="E15" s="332">
        <f t="shared" si="0"/>
        <v>6591409.947075082</v>
      </c>
      <c r="F15" s="326">
        <f t="shared" si="0"/>
        <v>1822508.7900000007</v>
      </c>
      <c r="G15" s="332">
        <f t="shared" si="0"/>
        <v>357667.58678063104</v>
      </c>
      <c r="H15" s="327">
        <f t="shared" si="0"/>
        <v>410125.49950845697</v>
      </c>
      <c r="I15" s="327">
        <f t="shared" si="0"/>
        <v>4716443.2443472547</v>
      </c>
      <c r="J15" s="327">
        <f t="shared" si="0"/>
        <v>141493.29733041764</v>
      </c>
      <c r="K15" s="332">
        <f t="shared" si="0"/>
        <v>175649147.9124606</v>
      </c>
      <c r="L15" s="332">
        <f t="shared" si="0"/>
        <v>353201.75133057521</v>
      </c>
      <c r="M15" s="332">
        <f t="shared" si="0"/>
        <v>643226.05558645073</v>
      </c>
      <c r="N15" s="332">
        <f t="shared" si="0"/>
        <v>175005921.85687417</v>
      </c>
      <c r="O15" s="327">
        <f t="shared" si="0"/>
        <v>0</v>
      </c>
      <c r="P15" s="327">
        <f t="shared" si="0"/>
        <v>0</v>
      </c>
      <c r="T15" s="328"/>
      <c r="U15" s="328"/>
      <c r="V15" s="329"/>
      <c r="W15" s="328"/>
      <c r="X15" s="330"/>
      <c r="Y15" s="331"/>
      <c r="Z15" s="328"/>
      <c r="AA15" s="328"/>
      <c r="AB15" s="328"/>
      <c r="AC15" s="328"/>
      <c r="AD15" s="328"/>
      <c r="AE15" s="328"/>
      <c r="AF15" s="328"/>
      <c r="AG15" s="328"/>
      <c r="AH15" s="328"/>
      <c r="AI15" s="328"/>
      <c r="AJ15" s="328"/>
      <c r="AK15" s="328"/>
      <c r="AL15" s="328"/>
      <c r="AM15" s="328"/>
      <c r="AN15" s="328"/>
    </row>
    <row r="16" spans="1:40" x14ac:dyDescent="0.2">
      <c r="A16" s="321">
        <f t="shared" si="2"/>
        <v>4</v>
      </c>
      <c r="C16" s="315" t="str">
        <f t="shared" si="1"/>
        <v>April</v>
      </c>
      <c r="D16" s="325">
        <f t="shared" si="1"/>
        <v>2013</v>
      </c>
      <c r="E16" s="332">
        <f t="shared" si="0"/>
        <v>26749160.289955087</v>
      </c>
      <c r="F16" s="326">
        <f t="shared" si="0"/>
        <v>12162469.13288</v>
      </c>
      <c r="G16" s="332">
        <f t="shared" si="0"/>
        <v>1094001.8367806312</v>
      </c>
      <c r="H16" s="327">
        <f t="shared" si="0"/>
        <v>1254455.4395084574</v>
      </c>
      <c r="I16" s="327">
        <f t="shared" si="0"/>
        <v>14426237.55434726</v>
      </c>
      <c r="J16" s="327">
        <f t="shared" si="0"/>
        <v>432787.12663041777</v>
      </c>
      <c r="K16" s="332">
        <f t="shared" si="0"/>
        <v>202670641.72631827</v>
      </c>
      <c r="L16" s="332">
        <f t="shared" si="0"/>
        <v>367166.14210104133</v>
      </c>
      <c r="M16" s="332">
        <f t="shared" si="0"/>
        <v>1010392.197687492</v>
      </c>
      <c r="N16" s="332">
        <f t="shared" si="0"/>
        <v>201660249.52863079</v>
      </c>
      <c r="O16" s="327">
        <f t="shared" si="0"/>
        <v>0</v>
      </c>
      <c r="P16" s="327">
        <f t="shared" si="0"/>
        <v>0</v>
      </c>
      <c r="T16" s="328"/>
      <c r="U16" s="328"/>
      <c r="V16" s="329"/>
      <c r="W16" s="328"/>
      <c r="X16" s="330"/>
      <c r="Y16" s="331"/>
      <c r="Z16" s="328"/>
      <c r="AA16" s="328"/>
      <c r="AB16" s="328"/>
      <c r="AC16" s="328"/>
      <c r="AD16" s="328"/>
      <c r="AE16" s="328"/>
      <c r="AF16" s="328"/>
      <c r="AG16" s="328"/>
      <c r="AH16" s="328"/>
      <c r="AI16" s="328"/>
      <c r="AJ16" s="328"/>
      <c r="AK16" s="328"/>
      <c r="AL16" s="328"/>
      <c r="AM16" s="328"/>
      <c r="AN16" s="328"/>
    </row>
    <row r="17" spans="1:40" x14ac:dyDescent="0.2">
      <c r="A17" s="321">
        <f t="shared" si="2"/>
        <v>5</v>
      </c>
      <c r="C17" s="315" t="str">
        <f t="shared" si="1"/>
        <v>May</v>
      </c>
      <c r="D17" s="325">
        <f t="shared" si="1"/>
        <v>2013</v>
      </c>
      <c r="E17" s="332">
        <f t="shared" si="0"/>
        <v>608490461.88107717</v>
      </c>
      <c r="F17" s="326">
        <f t="shared" si="0"/>
        <v>405770140.99440044</v>
      </c>
      <c r="G17" s="332">
        <f t="shared" si="0"/>
        <v>15204024.066500755</v>
      </c>
      <c r="H17" s="327">
        <f t="shared" si="0"/>
        <v>966259.20550845703</v>
      </c>
      <c r="I17" s="327">
        <f t="shared" si="0"/>
        <v>11111980.863347255</v>
      </c>
      <c r="J17" s="327">
        <f t="shared" si="0"/>
        <v>333359.42590041761</v>
      </c>
      <c r="K17" s="332">
        <f t="shared" si="0"/>
        <v>825732227.89428806</v>
      </c>
      <c r="L17" s="332">
        <f t="shared" si="0"/>
        <v>423650.20567524014</v>
      </c>
      <c r="M17" s="332">
        <f t="shared" si="0"/>
        <v>1434042.4033627321</v>
      </c>
      <c r="N17" s="332">
        <f t="shared" si="0"/>
        <v>824298185.49092543</v>
      </c>
      <c r="O17" s="327">
        <f t="shared" si="0"/>
        <v>0</v>
      </c>
      <c r="P17" s="327">
        <f t="shared" si="0"/>
        <v>0</v>
      </c>
      <c r="T17" s="328"/>
      <c r="U17" s="328"/>
      <c r="V17" s="329"/>
      <c r="W17" s="328"/>
      <c r="X17" s="330"/>
      <c r="Y17" s="331"/>
      <c r="Z17" s="328"/>
      <c r="AA17" s="328"/>
      <c r="AB17" s="328"/>
      <c r="AC17" s="328"/>
      <c r="AD17" s="328"/>
      <c r="AE17" s="328"/>
      <c r="AF17" s="328"/>
      <c r="AG17" s="328"/>
      <c r="AH17" s="328"/>
      <c r="AI17" s="328"/>
      <c r="AJ17" s="328"/>
      <c r="AK17" s="328"/>
      <c r="AL17" s="328"/>
      <c r="AM17" s="328"/>
      <c r="AN17" s="328"/>
    </row>
    <row r="18" spans="1:40" x14ac:dyDescent="0.2">
      <c r="A18" s="321">
        <f t="shared" si="2"/>
        <v>6</v>
      </c>
      <c r="C18" s="315" t="str">
        <f t="shared" si="1"/>
        <v xml:space="preserve">June </v>
      </c>
      <c r="D18" s="325">
        <f t="shared" si="1"/>
        <v>2013</v>
      </c>
      <c r="E18" s="332">
        <f t="shared" si="0"/>
        <v>322417525.56856668</v>
      </c>
      <c r="F18" s="326">
        <f t="shared" si="0"/>
        <v>212693310.63799998</v>
      </c>
      <c r="G18" s="332">
        <f t="shared" si="0"/>
        <v>8229316.1197924977</v>
      </c>
      <c r="H18" s="327">
        <f t="shared" si="0"/>
        <v>1296485.1875084583</v>
      </c>
      <c r="I18" s="327">
        <f t="shared" si="0"/>
        <v>14909579.656347271</v>
      </c>
      <c r="J18" s="327">
        <f t="shared" si="0"/>
        <v>447287.38969041809</v>
      </c>
      <c r="K18" s="332">
        <f t="shared" si="0"/>
        <v>1155529871.7848291</v>
      </c>
      <c r="L18" s="332">
        <f t="shared" si="0"/>
        <v>1726059.7055417649</v>
      </c>
      <c r="M18" s="332">
        <f t="shared" si="0"/>
        <v>3160102.1089044972</v>
      </c>
      <c r="N18" s="332">
        <f>N50+N81</f>
        <v>1152369769.6759248</v>
      </c>
      <c r="O18" s="327">
        <f t="shared" si="0"/>
        <v>3222820.86</v>
      </c>
      <c r="P18" s="327">
        <f t="shared" si="0"/>
        <v>3276319.686276</v>
      </c>
      <c r="T18" s="328"/>
      <c r="U18" s="328"/>
      <c r="V18" s="329"/>
      <c r="W18" s="328"/>
      <c r="X18" s="330"/>
      <c r="Y18" s="331"/>
      <c r="Z18" s="328"/>
      <c r="AA18" s="328"/>
      <c r="AB18" s="328"/>
      <c r="AC18" s="328"/>
      <c r="AD18" s="328"/>
      <c r="AE18" s="328"/>
      <c r="AF18" s="328"/>
      <c r="AG18" s="328"/>
      <c r="AH18" s="328"/>
      <c r="AI18" s="328"/>
      <c r="AJ18" s="328"/>
      <c r="AK18" s="328"/>
      <c r="AL18" s="328"/>
      <c r="AM18" s="328"/>
      <c r="AN18" s="328"/>
    </row>
    <row r="19" spans="1:40" x14ac:dyDescent="0.2">
      <c r="A19" s="321">
        <f t="shared" si="2"/>
        <v>7</v>
      </c>
      <c r="C19" s="315" t="str">
        <f t="shared" si="1"/>
        <v>July</v>
      </c>
      <c r="D19" s="325">
        <f t="shared" si="1"/>
        <v>2013</v>
      </c>
      <c r="E19" s="332">
        <f t="shared" si="0"/>
        <v>213709937.41728452</v>
      </c>
      <c r="F19" s="326">
        <f t="shared" si="0"/>
        <v>136564610.29300007</v>
      </c>
      <c r="G19" s="332">
        <f t="shared" si="0"/>
        <v>5785899.5343213314</v>
      </c>
      <c r="H19" s="327">
        <f t="shared" si="0"/>
        <v>638025.49950845551</v>
      </c>
      <c r="I19" s="327">
        <f t="shared" si="0"/>
        <v>7337293.2443472389</v>
      </c>
      <c r="J19" s="327">
        <f t="shared" si="0"/>
        <v>220118.79733041715</v>
      </c>
      <c r="K19" s="332">
        <f t="shared" si="0"/>
        <v>1374607802.0342572</v>
      </c>
      <c r="L19" s="332">
        <f t="shared" si="0"/>
        <v>2415448.3534255093</v>
      </c>
      <c r="M19" s="332">
        <f t="shared" si="0"/>
        <v>5575550.4623300061</v>
      </c>
      <c r="N19" s="332">
        <f t="shared" si="0"/>
        <v>1369032251.5719271</v>
      </c>
      <c r="O19" s="327">
        <f t="shared" si="0"/>
        <v>3472820.86</v>
      </c>
      <c r="P19" s="327">
        <f t="shared" si="0"/>
        <v>3530469.686276</v>
      </c>
      <c r="T19" s="328"/>
      <c r="U19" s="328"/>
      <c r="V19" s="329"/>
      <c r="W19" s="328"/>
      <c r="X19" s="330"/>
      <c r="Y19" s="331"/>
      <c r="Z19" s="328"/>
      <c r="AA19" s="328"/>
      <c r="AB19" s="328"/>
      <c r="AC19" s="328"/>
      <c r="AD19" s="328"/>
      <c r="AE19" s="328"/>
      <c r="AF19" s="328"/>
      <c r="AG19" s="328"/>
      <c r="AH19" s="328"/>
      <c r="AI19" s="328"/>
      <c r="AJ19" s="328"/>
      <c r="AK19" s="328"/>
      <c r="AL19" s="328"/>
      <c r="AM19" s="328"/>
      <c r="AN19" s="328"/>
    </row>
    <row r="20" spans="1:40" x14ac:dyDescent="0.2">
      <c r="A20" s="321">
        <f t="shared" si="2"/>
        <v>8</v>
      </c>
      <c r="C20" s="315" t="str">
        <f t="shared" si="1"/>
        <v>August</v>
      </c>
      <c r="D20" s="325">
        <f t="shared" si="1"/>
        <v>2013</v>
      </c>
      <c r="E20" s="332">
        <f t="shared" si="0"/>
        <v>34996981.907558605</v>
      </c>
      <c r="F20" s="326">
        <f t="shared" si="0"/>
        <v>16311156.609999999</v>
      </c>
      <c r="G20" s="332">
        <f t="shared" si="0"/>
        <v>1401436.8973168954</v>
      </c>
      <c r="H20" s="327">
        <f t="shared" si="0"/>
        <v>585659.15350845887</v>
      </c>
      <c r="I20" s="327">
        <f t="shared" si="0"/>
        <v>6735080.2653472759</v>
      </c>
      <c r="J20" s="327">
        <f t="shared" si="0"/>
        <v>202052.40796041826</v>
      </c>
      <c r="K20" s="332">
        <f t="shared" si="0"/>
        <v>1410622614.0935843</v>
      </c>
      <c r="L20" s="332">
        <f t="shared" si="0"/>
        <v>2873395.342779832</v>
      </c>
      <c r="M20" s="332">
        <f t="shared" si="0"/>
        <v>8448945.805109838</v>
      </c>
      <c r="N20" s="332">
        <f t="shared" si="0"/>
        <v>1402173668.2884743</v>
      </c>
      <c r="O20" s="327">
        <f t="shared" si="0"/>
        <v>3472820.86</v>
      </c>
      <c r="P20" s="327">
        <f t="shared" si="0"/>
        <v>3530469.686276</v>
      </c>
      <c r="T20" s="328"/>
      <c r="U20" s="328"/>
      <c r="V20" s="329"/>
      <c r="W20" s="328"/>
      <c r="X20" s="330"/>
      <c r="Y20" s="331"/>
      <c r="Z20" s="328"/>
      <c r="AA20" s="328"/>
      <c r="AB20" s="328"/>
      <c r="AC20" s="328"/>
      <c r="AD20" s="328"/>
      <c r="AE20" s="328"/>
      <c r="AF20" s="328"/>
      <c r="AG20" s="328"/>
      <c r="AH20" s="328"/>
      <c r="AI20" s="328"/>
      <c r="AJ20" s="328"/>
      <c r="AK20" s="328"/>
      <c r="AL20" s="328"/>
      <c r="AM20" s="328"/>
      <c r="AN20" s="328"/>
    </row>
    <row r="21" spans="1:40" x14ac:dyDescent="0.2">
      <c r="A21" s="321">
        <f t="shared" si="2"/>
        <v>9</v>
      </c>
      <c r="C21" s="315" t="str">
        <f t="shared" si="1"/>
        <v>September</v>
      </c>
      <c r="D21" s="325">
        <f t="shared" si="1"/>
        <v>2013</v>
      </c>
      <c r="E21" s="332">
        <f t="shared" si="0"/>
        <v>238674709.18339643</v>
      </c>
      <c r="F21" s="326">
        <f t="shared" si="0"/>
        <v>169831199.51800036</v>
      </c>
      <c r="G21" s="332">
        <f t="shared" si="0"/>
        <v>5163263.2249047048</v>
      </c>
      <c r="H21" s="327">
        <f t="shared" si="0"/>
        <v>410125.49950845668</v>
      </c>
      <c r="I21" s="327">
        <f t="shared" si="0"/>
        <v>4716443.244347252</v>
      </c>
      <c r="J21" s="327">
        <f t="shared" si="0"/>
        <v>141493.29733041755</v>
      </c>
      <c r="K21" s="332">
        <f t="shared" si="0"/>
        <v>1654191954.2997074</v>
      </c>
      <c r="L21" s="332">
        <f t="shared" si="0"/>
        <v>2948678.4839705164</v>
      </c>
      <c r="M21" s="332">
        <f t="shared" si="0"/>
        <v>11397624.289080355</v>
      </c>
      <c r="N21" s="332">
        <f t="shared" si="0"/>
        <v>1642794330.010627</v>
      </c>
      <c r="O21" s="327">
        <f t="shared" si="0"/>
        <v>3472820.86</v>
      </c>
      <c r="P21" s="327">
        <f t="shared" si="0"/>
        <v>3530469.686276</v>
      </c>
      <c r="T21" s="328"/>
      <c r="U21" s="328"/>
      <c r="V21" s="329"/>
      <c r="W21" s="328"/>
      <c r="X21" s="330"/>
      <c r="Y21" s="331"/>
      <c r="Z21" s="328"/>
      <c r="AA21" s="328"/>
      <c r="AB21" s="328"/>
      <c r="AC21" s="328"/>
      <c r="AD21" s="328"/>
      <c r="AE21" s="328"/>
      <c r="AF21" s="328"/>
      <c r="AG21" s="328"/>
      <c r="AH21" s="328"/>
      <c r="AI21" s="328"/>
      <c r="AJ21" s="328"/>
      <c r="AK21" s="328"/>
      <c r="AL21" s="328"/>
      <c r="AM21" s="328"/>
      <c r="AN21" s="328"/>
    </row>
    <row r="22" spans="1:40" x14ac:dyDescent="0.2">
      <c r="A22" s="321">
        <f t="shared" si="2"/>
        <v>10</v>
      </c>
      <c r="C22" s="315" t="str">
        <f t="shared" si="1"/>
        <v xml:space="preserve">October </v>
      </c>
      <c r="D22" s="325">
        <f t="shared" si="1"/>
        <v>2013</v>
      </c>
      <c r="E22" s="332">
        <f t="shared" si="0"/>
        <v>24042486.803826161</v>
      </c>
      <c r="F22" s="326">
        <f t="shared" si="0"/>
        <v>9060699.5400000028</v>
      </c>
      <c r="G22" s="332">
        <f t="shared" si="0"/>
        <v>1123634.0447869617</v>
      </c>
      <c r="H22" s="327">
        <f t="shared" si="0"/>
        <v>435065.499508459</v>
      </c>
      <c r="I22" s="327">
        <f t="shared" si="0"/>
        <v>5003253.244347278</v>
      </c>
      <c r="J22" s="327">
        <f t="shared" si="0"/>
        <v>150097.59733041833</v>
      </c>
      <c r="K22" s="332">
        <f t="shared" si="0"/>
        <v>1679073107.2461424</v>
      </c>
      <c r="L22" s="332">
        <f t="shared" si="0"/>
        <v>3457820.8056978518</v>
      </c>
      <c r="M22" s="332">
        <f t="shared" si="0"/>
        <v>14855445.094778206</v>
      </c>
      <c r="N22" s="332">
        <f t="shared" si="0"/>
        <v>1664217662.1513643</v>
      </c>
      <c r="O22" s="327">
        <f t="shared" si="0"/>
        <v>3472820.86</v>
      </c>
      <c r="P22" s="327">
        <f t="shared" si="0"/>
        <v>3530469.686276</v>
      </c>
      <c r="T22" s="328"/>
      <c r="U22" s="328"/>
      <c r="V22" s="329"/>
      <c r="W22" s="328"/>
      <c r="X22" s="330"/>
      <c r="Y22" s="331"/>
      <c r="Z22" s="328"/>
      <c r="AA22" s="328"/>
      <c r="AB22" s="328"/>
      <c r="AC22" s="328"/>
      <c r="AD22" s="328"/>
      <c r="AE22" s="328"/>
      <c r="AF22" s="328"/>
      <c r="AG22" s="328"/>
      <c r="AH22" s="328"/>
      <c r="AI22" s="328"/>
      <c r="AJ22" s="328"/>
      <c r="AK22" s="328"/>
      <c r="AL22" s="328"/>
      <c r="AM22" s="328"/>
      <c r="AN22" s="328"/>
    </row>
    <row r="23" spans="1:40" x14ac:dyDescent="0.2">
      <c r="A23" s="321">
        <f t="shared" si="2"/>
        <v>11</v>
      </c>
      <c r="C23" s="315" t="str">
        <f t="shared" si="1"/>
        <v>November</v>
      </c>
      <c r="D23" s="325">
        <f t="shared" si="1"/>
        <v>2013</v>
      </c>
      <c r="E23" s="332">
        <f t="shared" si="0"/>
        <v>224963420.30608302</v>
      </c>
      <c r="F23" s="326">
        <f t="shared" si="0"/>
        <v>111091694.4000003</v>
      </c>
      <c r="G23" s="332">
        <f t="shared" si="0"/>
        <v>8540379.4429562036</v>
      </c>
      <c r="H23" s="327">
        <f t="shared" si="0"/>
        <v>410125.49950845668</v>
      </c>
      <c r="I23" s="327">
        <f t="shared" si="0"/>
        <v>4716443.244347252</v>
      </c>
      <c r="J23" s="327">
        <f t="shared" si="0"/>
        <v>141493.29733041755</v>
      </c>
      <c r="K23" s="332">
        <f t="shared" si="0"/>
        <v>1912308274.7930038</v>
      </c>
      <c r="L23" s="332">
        <f t="shared" si="0"/>
        <v>3509830.8327713753</v>
      </c>
      <c r="M23" s="332">
        <f t="shared" si="0"/>
        <v>18365275.927549582</v>
      </c>
      <c r="N23" s="332">
        <f t="shared" si="0"/>
        <v>1893942998.8654542</v>
      </c>
      <c r="O23" s="327">
        <f t="shared" si="0"/>
        <v>3472820.86</v>
      </c>
      <c r="P23" s="327">
        <f t="shared" si="0"/>
        <v>3530469.686276</v>
      </c>
      <c r="T23" s="328"/>
      <c r="U23" s="328"/>
      <c r="V23" s="329"/>
      <c r="W23" s="328"/>
      <c r="X23" s="330"/>
      <c r="Y23" s="331"/>
      <c r="Z23" s="328"/>
      <c r="AA23" s="328"/>
      <c r="AB23" s="328"/>
      <c r="AC23" s="328"/>
      <c r="AD23" s="328"/>
      <c r="AE23" s="328"/>
      <c r="AF23" s="328"/>
      <c r="AG23" s="328"/>
      <c r="AH23" s="328"/>
      <c r="AI23" s="328"/>
      <c r="AJ23" s="328"/>
      <c r="AK23" s="328"/>
      <c r="AL23" s="328"/>
      <c r="AM23" s="328"/>
      <c r="AN23" s="328"/>
    </row>
    <row r="24" spans="1:40" x14ac:dyDescent="0.2">
      <c r="A24" s="321">
        <f t="shared" si="2"/>
        <v>12</v>
      </c>
      <c r="C24" s="315" t="str">
        <f t="shared" si="1"/>
        <v>December</v>
      </c>
      <c r="D24" s="325">
        <f t="shared" si="1"/>
        <v>2013</v>
      </c>
      <c r="E24" s="332">
        <f t="shared" si="0"/>
        <v>179081737.96186885</v>
      </c>
      <c r="F24" s="326">
        <f t="shared" si="0"/>
        <v>93741660.790100753</v>
      </c>
      <c r="G24" s="332">
        <f t="shared" si="0"/>
        <v>6400505.7878826056</v>
      </c>
      <c r="H24" s="327">
        <f t="shared" si="0"/>
        <v>1117463.6272084545</v>
      </c>
      <c r="I24" s="327">
        <f t="shared" si="0"/>
        <v>12850831.712897228</v>
      </c>
      <c r="J24" s="327">
        <f t="shared" si="0"/>
        <v>385524.9513869168</v>
      </c>
      <c r="K24" s="332">
        <f t="shared" si="0"/>
        <v>2097058579.8669338</v>
      </c>
      <c r="L24" s="332">
        <f t="shared" si="0"/>
        <v>3997371.2375398064</v>
      </c>
      <c r="M24" s="332">
        <f t="shared" si="0"/>
        <v>22362647.165089387</v>
      </c>
      <c r="N24" s="332">
        <f t="shared" si="0"/>
        <v>2074695932.7018445</v>
      </c>
      <c r="O24" s="327">
        <f t="shared" si="0"/>
        <v>3472820.86</v>
      </c>
      <c r="P24" s="327">
        <f t="shared" si="0"/>
        <v>3530469.686276</v>
      </c>
      <c r="T24" s="328"/>
      <c r="U24" s="328"/>
      <c r="V24" s="329"/>
      <c r="W24" s="328"/>
      <c r="X24" s="330"/>
      <c r="Y24" s="331"/>
      <c r="Z24" s="328"/>
      <c r="AA24" s="328"/>
      <c r="AB24" s="328"/>
      <c r="AC24" s="328"/>
      <c r="AD24" s="328"/>
      <c r="AE24" s="328"/>
      <c r="AF24" s="328"/>
      <c r="AG24" s="328"/>
      <c r="AH24" s="328"/>
      <c r="AI24" s="328"/>
      <c r="AJ24" s="328"/>
      <c r="AK24" s="328"/>
      <c r="AL24" s="328"/>
      <c r="AM24" s="328"/>
      <c r="AN24" s="328"/>
    </row>
    <row r="25" spans="1:40" x14ac:dyDescent="0.2">
      <c r="A25" s="321">
        <f t="shared" si="2"/>
        <v>13</v>
      </c>
      <c r="C25" s="315" t="str">
        <f t="shared" si="1"/>
        <v>January</v>
      </c>
      <c r="D25" s="325">
        <f t="shared" si="1"/>
        <v>2014</v>
      </c>
      <c r="E25" s="327">
        <f t="shared" si="0"/>
        <v>19345283.695607759</v>
      </c>
      <c r="F25" s="326">
        <f t="shared" si="0"/>
        <v>311404.80000000005</v>
      </c>
      <c r="G25" s="326">
        <f t="shared" si="0"/>
        <v>1427540.9171705819</v>
      </c>
      <c r="H25" s="327">
        <f t="shared" si="0"/>
        <v>376226.78988493374</v>
      </c>
      <c r="I25" s="327">
        <f t="shared" si="0"/>
        <v>4326608.0836767387</v>
      </c>
      <c r="J25" s="327">
        <f t="shared" si="0"/>
        <v>129798.24251030215</v>
      </c>
      <c r="K25" s="332">
        <f t="shared" si="0"/>
        <v>2117584975.9323375</v>
      </c>
      <c r="L25" s="332">
        <f t="shared" si="0"/>
        <v>4383561.8770742053</v>
      </c>
      <c r="M25" s="332">
        <f t="shared" si="0"/>
        <v>26746209.042163592</v>
      </c>
      <c r="N25" s="332">
        <f t="shared" si="0"/>
        <v>2090838766.8901742</v>
      </c>
      <c r="O25" s="327">
        <f t="shared" si="0"/>
        <v>3472820.86</v>
      </c>
      <c r="P25" s="327">
        <f t="shared" si="0"/>
        <v>3530469.686276</v>
      </c>
      <c r="T25" s="328"/>
      <c r="U25" s="328"/>
      <c r="V25" s="329"/>
      <c r="W25" s="328"/>
      <c r="X25" s="330"/>
      <c r="Y25" s="331"/>
      <c r="Z25" s="328"/>
      <c r="AA25" s="328"/>
      <c r="AB25" s="328"/>
      <c r="AC25" s="328"/>
      <c r="AD25" s="328"/>
      <c r="AE25" s="328"/>
      <c r="AF25" s="328"/>
      <c r="AG25" s="328"/>
      <c r="AH25" s="328"/>
      <c r="AI25" s="328"/>
      <c r="AJ25" s="328"/>
      <c r="AK25" s="328"/>
      <c r="AL25" s="328"/>
      <c r="AM25" s="328"/>
      <c r="AN25" s="328"/>
    </row>
    <row r="26" spans="1:40" x14ac:dyDescent="0.2">
      <c r="A26" s="321">
        <f t="shared" si="2"/>
        <v>14</v>
      </c>
      <c r="C26" s="315" t="str">
        <f t="shared" si="1"/>
        <v>February</v>
      </c>
      <c r="D26" s="325">
        <f t="shared" si="1"/>
        <v>2014</v>
      </c>
      <c r="E26" s="327">
        <f t="shared" si="0"/>
        <v>16190986.655607758</v>
      </c>
      <c r="F26" s="326">
        <f t="shared" si="0"/>
        <v>370817.76</v>
      </c>
      <c r="G26" s="326">
        <f t="shared" si="0"/>
        <v>1186512.6671705816</v>
      </c>
      <c r="H26" s="327">
        <f t="shared" si="0"/>
        <v>376226.78988493374</v>
      </c>
      <c r="I26" s="327">
        <f t="shared" si="0"/>
        <v>4326608.0836767387</v>
      </c>
      <c r="J26" s="327">
        <f t="shared" si="0"/>
        <v>129798.24251030215</v>
      </c>
      <c r="K26" s="332">
        <f t="shared" si="0"/>
        <v>2134716046.7077413</v>
      </c>
      <c r="L26" s="332">
        <f t="shared" si="0"/>
        <v>4426468.9890308669</v>
      </c>
      <c r="M26" s="332">
        <f t="shared" si="0"/>
        <v>31172678.03119446</v>
      </c>
      <c r="N26" s="332">
        <f t="shared" si="0"/>
        <v>2103543368.6765468</v>
      </c>
      <c r="O26" s="327">
        <f t="shared" si="0"/>
        <v>3472820.86</v>
      </c>
      <c r="P26" s="327">
        <f t="shared" si="0"/>
        <v>3530469.686276</v>
      </c>
      <c r="T26" s="328"/>
      <c r="U26" s="328"/>
      <c r="V26" s="329"/>
      <c r="W26" s="328"/>
      <c r="X26" s="330"/>
      <c r="Y26" s="331"/>
      <c r="Z26" s="328"/>
      <c r="AA26" s="328"/>
      <c r="AB26" s="328"/>
      <c r="AC26" s="328"/>
      <c r="AD26" s="328"/>
      <c r="AE26" s="328"/>
      <c r="AF26" s="328"/>
      <c r="AG26" s="328"/>
      <c r="AH26" s="328"/>
      <c r="AI26" s="328"/>
      <c r="AJ26" s="328"/>
      <c r="AK26" s="328"/>
      <c r="AL26" s="328"/>
      <c r="AM26" s="328"/>
      <c r="AN26" s="328"/>
    </row>
    <row r="27" spans="1:40" x14ac:dyDescent="0.2">
      <c r="A27" s="321">
        <f t="shared" si="2"/>
        <v>15</v>
      </c>
      <c r="C27" s="315" t="str">
        <f t="shared" si="1"/>
        <v>March</v>
      </c>
      <c r="D27" s="325">
        <f t="shared" si="1"/>
        <v>2014</v>
      </c>
      <c r="E27" s="327">
        <f t="shared" si="0"/>
        <v>204217119.19793475</v>
      </c>
      <c r="F27" s="326">
        <f t="shared" si="0"/>
        <v>61049236.769999988</v>
      </c>
      <c r="G27" s="326">
        <f t="shared" si="0"/>
        <v>10737591.182095107</v>
      </c>
      <c r="H27" s="327">
        <f t="shared" si="0"/>
        <v>11391451.093665056</v>
      </c>
      <c r="I27" s="327">
        <f t="shared" si="0"/>
        <v>131001687.57714814</v>
      </c>
      <c r="J27" s="327">
        <f t="shared" si="0"/>
        <v>3930050.6273144442</v>
      </c>
      <c r="K27" s="332">
        <f t="shared" si="0"/>
        <v>2342209356.6214204</v>
      </c>
      <c r="L27" s="332">
        <f t="shared" si="0"/>
        <v>4462278.7224763129</v>
      </c>
      <c r="M27" s="332">
        <f t="shared" si="0"/>
        <v>35634956.753670774</v>
      </c>
      <c r="N27" s="332">
        <f t="shared" si="0"/>
        <v>2306574399.8677497</v>
      </c>
      <c r="O27" s="327">
        <f t="shared" si="0"/>
        <v>3472820.86</v>
      </c>
      <c r="P27" s="327">
        <f t="shared" si="0"/>
        <v>3530469.686276</v>
      </c>
      <c r="T27" s="328"/>
      <c r="U27" s="328"/>
      <c r="V27" s="329"/>
      <c r="W27" s="328"/>
      <c r="X27" s="330"/>
      <c r="Y27" s="331"/>
      <c r="Z27" s="328"/>
      <c r="AA27" s="328"/>
      <c r="AB27" s="328"/>
      <c r="AC27" s="328"/>
      <c r="AD27" s="328"/>
      <c r="AE27" s="328"/>
      <c r="AF27" s="328"/>
      <c r="AG27" s="328"/>
      <c r="AH27" s="328"/>
      <c r="AI27" s="328"/>
      <c r="AJ27" s="328"/>
      <c r="AK27" s="328"/>
      <c r="AL27" s="328"/>
      <c r="AM27" s="328"/>
      <c r="AN27" s="328"/>
    </row>
    <row r="28" spans="1:40" x14ac:dyDescent="0.2">
      <c r="A28" s="321">
        <f t="shared" si="2"/>
        <v>16</v>
      </c>
      <c r="C28" s="315" t="str">
        <f t="shared" si="1"/>
        <v>April</v>
      </c>
      <c r="D28" s="325">
        <f t="shared" si="1"/>
        <v>2014</v>
      </c>
      <c r="E28" s="327">
        <f t="shared" si="0"/>
        <v>59881569.278274439</v>
      </c>
      <c r="F28" s="326">
        <f t="shared" si="0"/>
        <v>2584156.5799999977</v>
      </c>
      <c r="G28" s="326">
        <f t="shared" si="0"/>
        <v>4297305.9523705821</v>
      </c>
      <c r="H28" s="327">
        <f t="shared" si="0"/>
        <v>4458635.6098849354</v>
      </c>
      <c r="I28" s="327">
        <f t="shared" si="0"/>
        <v>51274309.513676755</v>
      </c>
      <c r="J28" s="327">
        <f t="shared" si="0"/>
        <v>1538229.2854103027</v>
      </c>
      <c r="K28" s="332">
        <f t="shared" si="0"/>
        <v>2403467825.5275908</v>
      </c>
      <c r="L28" s="332">
        <f t="shared" si="0"/>
        <v>4896009.9361953232</v>
      </c>
      <c r="M28" s="332">
        <f t="shared" si="0"/>
        <v>40530966.689866096</v>
      </c>
      <c r="N28" s="332">
        <f t="shared" si="0"/>
        <v>2362936858.8377247</v>
      </c>
      <c r="O28" s="327">
        <f t="shared" si="0"/>
        <v>3472820.86</v>
      </c>
      <c r="P28" s="327">
        <f t="shared" si="0"/>
        <v>3530469.686276</v>
      </c>
      <c r="T28" s="328"/>
      <c r="U28" s="328"/>
      <c r="V28" s="329"/>
      <c r="W28" s="328"/>
      <c r="X28" s="330"/>
      <c r="Y28" s="331"/>
      <c r="Z28" s="328"/>
      <c r="AA28" s="328"/>
      <c r="AB28" s="328"/>
      <c r="AC28" s="328"/>
      <c r="AD28" s="328"/>
      <c r="AE28" s="328"/>
      <c r="AF28" s="328"/>
      <c r="AG28" s="328"/>
      <c r="AH28" s="328"/>
      <c r="AI28" s="328"/>
      <c r="AJ28" s="328"/>
      <c r="AK28" s="328"/>
      <c r="AL28" s="328"/>
      <c r="AM28" s="328"/>
      <c r="AN28" s="328"/>
    </row>
    <row r="29" spans="1:40" x14ac:dyDescent="0.2">
      <c r="A29" s="321">
        <f t="shared" si="2"/>
        <v>17</v>
      </c>
      <c r="C29" s="315" t="str">
        <f t="shared" si="1"/>
        <v>May</v>
      </c>
      <c r="D29" s="325">
        <f t="shared" si="1"/>
        <v>2014</v>
      </c>
      <c r="E29" s="327">
        <f t="shared" ref="E29:P36" si="3">E61+E92</f>
        <v>8502542.6982743945</v>
      </c>
      <c r="F29" s="326">
        <f t="shared" si="3"/>
        <v>300000</v>
      </c>
      <c r="G29" s="326">
        <f t="shared" si="3"/>
        <v>615190.70237057959</v>
      </c>
      <c r="H29" s="327">
        <f t="shared" si="3"/>
        <v>376226.78988493123</v>
      </c>
      <c r="I29" s="327">
        <f t="shared" si="3"/>
        <v>4326608.0836767089</v>
      </c>
      <c r="J29" s="327">
        <f t="shared" si="3"/>
        <v>129798.24251030126</v>
      </c>
      <c r="K29" s="332">
        <f t="shared" si="3"/>
        <v>2412339130.3808608</v>
      </c>
      <c r="L29" s="332">
        <f t="shared" si="3"/>
        <v>5024060.8602482229</v>
      </c>
      <c r="M29" s="332">
        <f t="shared" si="3"/>
        <v>45555027.550114319</v>
      </c>
      <c r="N29" s="332">
        <f t="shared" si="3"/>
        <v>2366784102.8307467</v>
      </c>
      <c r="O29" s="327">
        <f t="shared" si="3"/>
        <v>3472820.86</v>
      </c>
      <c r="P29" s="327">
        <f t="shared" si="3"/>
        <v>3530469.686276</v>
      </c>
      <c r="T29" s="328"/>
      <c r="U29" s="328"/>
      <c r="V29" s="329"/>
      <c r="W29" s="328"/>
      <c r="X29" s="330"/>
      <c r="Y29" s="331"/>
      <c r="Z29" s="328"/>
      <c r="AA29" s="328"/>
      <c r="AB29" s="328"/>
      <c r="AC29" s="328"/>
      <c r="AD29" s="328"/>
      <c r="AE29" s="328"/>
      <c r="AF29" s="328"/>
      <c r="AG29" s="328"/>
      <c r="AH29" s="328"/>
      <c r="AI29" s="328"/>
      <c r="AJ29" s="328"/>
      <c r="AK29" s="328"/>
      <c r="AL29" s="328"/>
      <c r="AM29" s="328"/>
      <c r="AN29" s="328"/>
    </row>
    <row r="30" spans="1:40" x14ac:dyDescent="0.2">
      <c r="A30" s="321">
        <f t="shared" si="2"/>
        <v>18</v>
      </c>
      <c r="C30" s="315" t="str">
        <f t="shared" ref="C30:D36" si="4">C62</f>
        <v xml:space="preserve">June </v>
      </c>
      <c r="D30" s="325">
        <f t="shared" si="4"/>
        <v>2014</v>
      </c>
      <c r="E30" s="327">
        <f t="shared" si="3"/>
        <v>13559881.341618437</v>
      </c>
      <c r="F30" s="326">
        <f t="shared" si="3"/>
        <v>1294086.4639999995</v>
      </c>
      <c r="G30" s="326">
        <f t="shared" si="3"/>
        <v>919934.61582138285</v>
      </c>
      <c r="H30" s="327">
        <f t="shared" si="3"/>
        <v>725219.277308519</v>
      </c>
      <c r="I30" s="327">
        <f t="shared" si="3"/>
        <v>8340021.6890479689</v>
      </c>
      <c r="J30" s="327">
        <f t="shared" si="3"/>
        <v>250200.65067143907</v>
      </c>
      <c r="K30" s="332">
        <f t="shared" si="3"/>
        <v>2426343927.7116632</v>
      </c>
      <c r="L30" s="332">
        <f t="shared" si="3"/>
        <v>5042604.8885972863</v>
      </c>
      <c r="M30" s="332">
        <f t="shared" si="3"/>
        <v>50597632.438711606</v>
      </c>
      <c r="N30" s="332">
        <f t="shared" si="3"/>
        <v>2375746295.2729516</v>
      </c>
      <c r="O30" s="327">
        <f t="shared" si="3"/>
        <v>5659596.4633439835</v>
      </c>
      <c r="P30" s="327">
        <f t="shared" si="3"/>
        <v>5753545.764635494</v>
      </c>
      <c r="T30" s="328"/>
      <c r="U30" s="328"/>
      <c r="V30" s="329"/>
      <c r="W30" s="328"/>
      <c r="X30" s="330"/>
      <c r="Y30" s="331"/>
      <c r="Z30" s="328"/>
      <c r="AA30" s="328"/>
      <c r="AB30" s="328"/>
      <c r="AC30" s="328"/>
      <c r="AD30" s="328"/>
      <c r="AE30" s="328"/>
      <c r="AF30" s="328"/>
      <c r="AG30" s="328"/>
      <c r="AH30" s="328"/>
      <c r="AI30" s="328"/>
      <c r="AJ30" s="328"/>
      <c r="AK30" s="328"/>
      <c r="AL30" s="328"/>
      <c r="AM30" s="328"/>
      <c r="AN30" s="328"/>
    </row>
    <row r="31" spans="1:40" x14ac:dyDescent="0.2">
      <c r="A31" s="321">
        <f t="shared" si="2"/>
        <v>19</v>
      </c>
      <c r="C31" s="315" t="str">
        <f t="shared" si="4"/>
        <v>July</v>
      </c>
      <c r="D31" s="325">
        <f t="shared" si="4"/>
        <v>2014</v>
      </c>
      <c r="E31" s="327">
        <f t="shared" si="3"/>
        <v>8839585.0166077409</v>
      </c>
      <c r="F31" s="326">
        <f t="shared" si="3"/>
        <v>490424.9850000001</v>
      </c>
      <c r="G31" s="326">
        <f t="shared" si="3"/>
        <v>626187.00237058057</v>
      </c>
      <c r="H31" s="327">
        <f t="shared" si="3"/>
        <v>591226.78988493246</v>
      </c>
      <c r="I31" s="327">
        <f t="shared" si="3"/>
        <v>6799108.0836767228</v>
      </c>
      <c r="J31" s="327">
        <f t="shared" si="3"/>
        <v>203973.24251030167</v>
      </c>
      <c r="K31" s="332">
        <f t="shared" si="3"/>
        <v>2435422446.1832671</v>
      </c>
      <c r="L31" s="332">
        <f t="shared" si="3"/>
        <v>5071879.6529099513</v>
      </c>
      <c r="M31" s="332">
        <f t="shared" si="3"/>
        <v>55669512.091621555</v>
      </c>
      <c r="N31" s="332">
        <f t="shared" si="3"/>
        <v>2379752934.0916457</v>
      </c>
      <c r="O31" s="327">
        <f t="shared" si="3"/>
        <v>5659596.4633439835</v>
      </c>
      <c r="P31" s="327">
        <f t="shared" si="3"/>
        <v>5753545.764635494</v>
      </c>
      <c r="T31" s="328"/>
      <c r="U31" s="328"/>
      <c r="V31" s="329"/>
      <c r="W31" s="328"/>
      <c r="X31" s="330"/>
      <c r="Y31" s="331"/>
      <c r="Z31" s="328"/>
      <c r="AA31" s="328"/>
      <c r="AB31" s="328"/>
      <c r="AC31" s="328"/>
      <c r="AD31" s="328"/>
      <c r="AE31" s="328"/>
      <c r="AF31" s="328"/>
      <c r="AG31" s="328"/>
      <c r="AH31" s="328"/>
      <c r="AI31" s="328"/>
      <c r="AJ31" s="328"/>
      <c r="AK31" s="328"/>
      <c r="AL31" s="328"/>
      <c r="AM31" s="328"/>
      <c r="AN31" s="328"/>
    </row>
    <row r="32" spans="1:40" x14ac:dyDescent="0.2">
      <c r="A32" s="321">
        <f t="shared" si="2"/>
        <v>20</v>
      </c>
      <c r="C32" s="315" t="str">
        <f t="shared" si="4"/>
        <v>August</v>
      </c>
      <c r="D32" s="325">
        <f t="shared" si="4"/>
        <v>2014</v>
      </c>
      <c r="E32" s="327">
        <f t="shared" si="3"/>
        <v>6624684.5316077266</v>
      </c>
      <c r="F32" s="326">
        <f t="shared" si="3"/>
        <v>15424.499999999998</v>
      </c>
      <c r="G32" s="326">
        <f t="shared" si="3"/>
        <v>495694.50237057952</v>
      </c>
      <c r="H32" s="327">
        <f t="shared" si="3"/>
        <v>445026.78988493123</v>
      </c>
      <c r="I32" s="327">
        <f t="shared" si="3"/>
        <v>5117808.0836767089</v>
      </c>
      <c r="J32" s="327">
        <f t="shared" si="3"/>
        <v>153534.24251030126</v>
      </c>
      <c r="K32" s="332">
        <f t="shared" si="3"/>
        <v>2442251332.6698713</v>
      </c>
      <c r="L32" s="332">
        <f t="shared" si="3"/>
        <v>5090856.8278227095</v>
      </c>
      <c r="M32" s="332">
        <f t="shared" si="3"/>
        <v>60760368.919444263</v>
      </c>
      <c r="N32" s="332">
        <f t="shared" si="3"/>
        <v>2381490963.7504268</v>
      </c>
      <c r="O32" s="327">
        <f t="shared" si="3"/>
        <v>5659596.4633439835</v>
      </c>
      <c r="P32" s="327">
        <f t="shared" si="3"/>
        <v>5753545.764635494</v>
      </c>
      <c r="T32" s="328"/>
      <c r="U32" s="328"/>
      <c r="V32" s="329"/>
      <c r="W32" s="328"/>
      <c r="X32" s="330"/>
      <c r="Y32" s="331"/>
      <c r="Z32" s="328"/>
      <c r="AA32" s="328"/>
      <c r="AB32" s="328"/>
      <c r="AC32" s="328"/>
      <c r="AD32" s="328"/>
      <c r="AE32" s="328"/>
      <c r="AF32" s="328"/>
      <c r="AG32" s="328"/>
      <c r="AH32" s="328"/>
      <c r="AI32" s="328"/>
      <c r="AJ32" s="328"/>
      <c r="AK32" s="328"/>
      <c r="AL32" s="328"/>
      <c r="AM32" s="328"/>
      <c r="AN32" s="328"/>
    </row>
    <row r="33" spans="1:40" x14ac:dyDescent="0.2">
      <c r="A33" s="321">
        <f t="shared" si="2"/>
        <v>21</v>
      </c>
      <c r="C33" s="315" t="str">
        <f t="shared" si="4"/>
        <v>September</v>
      </c>
      <c r="D33" s="325">
        <f t="shared" si="4"/>
        <v>2014</v>
      </c>
      <c r="E33" s="327">
        <f t="shared" si="3"/>
        <v>5967210.0316077266</v>
      </c>
      <c r="F33" s="326">
        <f t="shared" si="3"/>
        <v>157950</v>
      </c>
      <c r="G33" s="326">
        <f t="shared" si="3"/>
        <v>435694.50237057952</v>
      </c>
      <c r="H33" s="327">
        <f t="shared" si="3"/>
        <v>376226.78988493123</v>
      </c>
      <c r="I33" s="327">
        <f t="shared" si="3"/>
        <v>4326608.0836767089</v>
      </c>
      <c r="J33" s="327">
        <f t="shared" si="3"/>
        <v>129798.24251030126</v>
      </c>
      <c r="K33" s="333">
        <f t="shared" si="3"/>
        <v>2448407808.6564751</v>
      </c>
      <c r="L33" s="333">
        <f t="shared" si="3"/>
        <v>5105131.5108253388</v>
      </c>
      <c r="M33" s="333">
        <f t="shared" si="3"/>
        <v>65865500.430269606</v>
      </c>
      <c r="N33" s="333">
        <f t="shared" si="3"/>
        <v>2382542308.2262053</v>
      </c>
      <c r="O33" s="186">
        <f t="shared" si="3"/>
        <v>5659596.4633439835</v>
      </c>
      <c r="P33" s="186">
        <f t="shared" si="3"/>
        <v>5753545.764635494</v>
      </c>
      <c r="T33" s="328"/>
      <c r="U33" s="328"/>
      <c r="V33" s="329"/>
      <c r="W33" s="328"/>
      <c r="X33" s="330"/>
      <c r="Y33" s="331"/>
      <c r="Z33" s="328"/>
      <c r="AA33" s="328"/>
      <c r="AB33" s="328"/>
      <c r="AC33" s="328"/>
      <c r="AD33" s="328"/>
      <c r="AE33" s="328"/>
      <c r="AF33" s="328"/>
      <c r="AG33" s="328"/>
      <c r="AH33" s="328"/>
      <c r="AI33" s="328"/>
      <c r="AJ33" s="328"/>
      <c r="AK33" s="328"/>
      <c r="AL33" s="328"/>
      <c r="AM33" s="328"/>
      <c r="AN33" s="328"/>
    </row>
    <row r="34" spans="1:40" x14ac:dyDescent="0.2">
      <c r="A34" s="322">
        <f t="shared" si="2"/>
        <v>22</v>
      </c>
      <c r="C34" s="315" t="str">
        <f t="shared" si="4"/>
        <v>October</v>
      </c>
      <c r="D34" s="325">
        <f t="shared" si="4"/>
        <v>2014</v>
      </c>
      <c r="E34" s="327">
        <f t="shared" si="3"/>
        <v>5806260.0316077266</v>
      </c>
      <c r="F34" s="326">
        <f t="shared" si="3"/>
        <v>0</v>
      </c>
      <c r="G34" s="326">
        <f t="shared" si="3"/>
        <v>435469.50237057952</v>
      </c>
      <c r="H34" s="327">
        <f t="shared" si="3"/>
        <v>376226.78988493123</v>
      </c>
      <c r="I34" s="327">
        <f t="shared" si="3"/>
        <v>4326608.0836767089</v>
      </c>
      <c r="J34" s="327">
        <f t="shared" si="3"/>
        <v>129798.24251030126</v>
      </c>
      <c r="K34" s="333">
        <f t="shared" si="3"/>
        <v>2454403109.6430788</v>
      </c>
      <c r="L34" s="333">
        <f t="shared" si="3"/>
        <v>5118000.6284032138</v>
      </c>
      <c r="M34" s="333">
        <f t="shared" si="3"/>
        <v>70983501.058672816</v>
      </c>
      <c r="N34" s="333">
        <f t="shared" si="3"/>
        <v>2383419608.5844059</v>
      </c>
      <c r="O34" s="186">
        <f t="shared" si="3"/>
        <v>5659596.4633439835</v>
      </c>
      <c r="P34" s="186">
        <f t="shared" si="3"/>
        <v>5753545.764635494</v>
      </c>
      <c r="T34" s="328"/>
      <c r="U34" s="328"/>
      <c r="V34" s="329"/>
      <c r="W34" s="328"/>
      <c r="X34" s="330"/>
      <c r="Y34" s="331"/>
      <c r="Z34" s="328"/>
      <c r="AA34" s="328"/>
      <c r="AB34" s="328"/>
      <c r="AC34" s="328"/>
      <c r="AD34" s="328"/>
      <c r="AE34" s="328"/>
      <c r="AF34" s="328"/>
      <c r="AG34" s="328"/>
      <c r="AH34" s="328"/>
      <c r="AI34" s="328"/>
      <c r="AJ34" s="328"/>
      <c r="AK34" s="328"/>
      <c r="AL34" s="328"/>
      <c r="AM34" s="328"/>
      <c r="AN34" s="328"/>
    </row>
    <row r="35" spans="1:40" x14ac:dyDescent="0.2">
      <c r="A35" s="322">
        <f t="shared" si="2"/>
        <v>23</v>
      </c>
      <c r="C35" s="315" t="str">
        <f t="shared" si="4"/>
        <v>November</v>
      </c>
      <c r="D35" s="325">
        <f t="shared" si="4"/>
        <v>2014</v>
      </c>
      <c r="E35" s="327">
        <f t="shared" si="3"/>
        <v>5964260.0316077862</v>
      </c>
      <c r="F35" s="326">
        <f t="shared" si="3"/>
        <v>0</v>
      </c>
      <c r="G35" s="326">
        <f t="shared" si="3"/>
        <v>447319.50237058394</v>
      </c>
      <c r="H35" s="327">
        <f t="shared" si="3"/>
        <v>376226.78988493636</v>
      </c>
      <c r="I35" s="327">
        <f t="shared" si="3"/>
        <v>4326608.0836767685</v>
      </c>
      <c r="J35" s="327">
        <f t="shared" si="3"/>
        <v>129798.24251030305</v>
      </c>
      <c r="K35" s="333">
        <f t="shared" si="3"/>
        <v>2460568260.6296825</v>
      </c>
      <c r="L35" s="333">
        <f t="shared" si="3"/>
        <v>5130532.8357048007</v>
      </c>
      <c r="M35" s="333">
        <f t="shared" si="3"/>
        <v>76114033.894377619</v>
      </c>
      <c r="N35" s="333">
        <f t="shared" si="3"/>
        <v>2384454226.7353048</v>
      </c>
      <c r="O35" s="186">
        <f t="shared" si="3"/>
        <v>5659596.4633439835</v>
      </c>
      <c r="P35" s="186">
        <f t="shared" si="3"/>
        <v>5753545.764635494</v>
      </c>
      <c r="T35" s="328"/>
      <c r="U35" s="328"/>
      <c r="V35" s="329"/>
      <c r="W35" s="328"/>
      <c r="X35" s="330"/>
      <c r="Y35" s="331"/>
      <c r="Z35" s="328"/>
      <c r="AA35" s="328"/>
      <c r="AB35" s="328"/>
      <c r="AC35" s="328"/>
      <c r="AD35" s="328"/>
      <c r="AE35" s="328"/>
      <c r="AF35" s="328"/>
      <c r="AG35" s="328"/>
      <c r="AH35" s="328"/>
      <c r="AI35" s="328"/>
      <c r="AJ35" s="328"/>
      <c r="AK35" s="328"/>
      <c r="AL35" s="328"/>
      <c r="AM35" s="328"/>
      <c r="AN35" s="328"/>
    </row>
    <row r="36" spans="1:40" x14ac:dyDescent="0.2">
      <c r="A36" s="322">
        <f t="shared" si="2"/>
        <v>24</v>
      </c>
      <c r="C36" s="315" t="str">
        <f t="shared" si="4"/>
        <v>December</v>
      </c>
      <c r="D36" s="325">
        <f t="shared" si="4"/>
        <v>2014</v>
      </c>
      <c r="E36" s="327">
        <f t="shared" si="3"/>
        <v>65214693.98160772</v>
      </c>
      <c r="F36" s="326">
        <f t="shared" si="3"/>
        <v>15217238.950000001</v>
      </c>
      <c r="G36" s="326">
        <f t="shared" si="3"/>
        <v>3749809.1273705792</v>
      </c>
      <c r="H36" s="327">
        <f t="shared" si="3"/>
        <v>376226.78988493123</v>
      </c>
      <c r="I36" s="327">
        <f t="shared" si="3"/>
        <v>4326608.0836767089</v>
      </c>
      <c r="J36" s="327">
        <f t="shared" si="3"/>
        <v>129798.24251030126</v>
      </c>
      <c r="K36" s="334">
        <f t="shared" si="3"/>
        <v>2529286335.1912866</v>
      </c>
      <c r="L36" s="333">
        <f t="shared" si="3"/>
        <v>5143420.0869674701</v>
      </c>
      <c r="M36" s="333">
        <f t="shared" si="3"/>
        <v>81257453.981345087</v>
      </c>
      <c r="N36" s="334">
        <f t="shared" si="3"/>
        <v>2448028881.2099414</v>
      </c>
      <c r="O36" s="186">
        <f t="shared" si="3"/>
        <v>5659596.4633439835</v>
      </c>
      <c r="P36" s="335">
        <f t="shared" si="3"/>
        <v>5753545.764635494</v>
      </c>
      <c r="T36" s="328"/>
      <c r="U36" s="328"/>
      <c r="V36" s="329"/>
      <c r="W36" s="328"/>
      <c r="X36" s="330"/>
      <c r="Y36" s="331"/>
      <c r="Z36" s="328"/>
      <c r="AA36" s="328"/>
      <c r="AB36" s="328"/>
      <c r="AC36" s="328"/>
      <c r="AD36" s="328"/>
      <c r="AE36" s="328"/>
      <c r="AF36" s="328"/>
      <c r="AG36" s="328"/>
      <c r="AH36" s="328"/>
      <c r="AI36" s="328"/>
      <c r="AJ36" s="328"/>
      <c r="AK36" s="328"/>
      <c r="AL36" s="328"/>
      <c r="AM36" s="328"/>
      <c r="AN36" s="328"/>
    </row>
    <row r="37" spans="1:40" s="145" customFormat="1" x14ac:dyDescent="0.2">
      <c r="A37" s="322">
        <f t="shared" si="2"/>
        <v>25</v>
      </c>
      <c r="D37" s="336" t="s">
        <v>343</v>
      </c>
      <c r="K37" s="337">
        <f>AVERAGE(K24:K36)</f>
        <v>2361850702.7478623</v>
      </c>
      <c r="M37" s="338"/>
      <c r="N37" s="337">
        <f>AVERAGE(N24:N36)</f>
        <v>2310831434.4365902</v>
      </c>
      <c r="O37" s="338"/>
      <c r="P37" s="338">
        <f>AVERAGE(P24:P36)</f>
        <v>4727510.6515464978</v>
      </c>
      <c r="Q37" s="339"/>
      <c r="T37" s="340"/>
      <c r="U37" s="340"/>
    </row>
    <row r="38" spans="1:40" x14ac:dyDescent="0.2">
      <c r="A38" s="321"/>
      <c r="T38" s="327"/>
      <c r="U38" s="327"/>
      <c r="Z38" s="327"/>
    </row>
    <row r="39" spans="1:40" x14ac:dyDescent="0.2">
      <c r="A39" s="321"/>
      <c r="B39" s="145" t="s">
        <v>437</v>
      </c>
      <c r="G39" s="321"/>
      <c r="K39" s="331"/>
      <c r="M39" s="331"/>
      <c r="N39" s="331"/>
      <c r="O39" s="331"/>
      <c r="P39" s="331"/>
    </row>
    <row r="40" spans="1:40" x14ac:dyDescent="0.2">
      <c r="A40" s="321"/>
      <c r="B40" s="145"/>
      <c r="E40" s="318" t="s">
        <v>167</v>
      </c>
      <c r="F40" s="318" t="s">
        <v>168</v>
      </c>
      <c r="G40" s="318" t="s">
        <v>184</v>
      </c>
      <c r="H40" s="318" t="s">
        <v>185</v>
      </c>
      <c r="I40" s="318" t="s">
        <v>186</v>
      </c>
      <c r="J40" s="318" t="s">
        <v>187</v>
      </c>
      <c r="K40" s="341" t="s">
        <v>188</v>
      </c>
      <c r="L40" s="318" t="s">
        <v>350</v>
      </c>
      <c r="M40" s="341" t="s">
        <v>404</v>
      </c>
      <c r="N40" s="341" t="s">
        <v>403</v>
      </c>
      <c r="O40" s="341" t="s">
        <v>402</v>
      </c>
      <c r="P40" s="341" t="s">
        <v>401</v>
      </c>
    </row>
    <row r="41" spans="1:40" ht="25.5" x14ac:dyDescent="0.2">
      <c r="A41" s="321"/>
      <c r="B41" s="145"/>
      <c r="E41" s="342" t="s">
        <v>438</v>
      </c>
      <c r="F41" s="342" t="s">
        <v>439</v>
      </c>
      <c r="G41" s="342" t="s">
        <v>440</v>
      </c>
      <c r="H41" s="343" t="s">
        <v>441</v>
      </c>
      <c r="I41" s="343" t="s">
        <v>441</v>
      </c>
      <c r="J41" s="320" t="s">
        <v>441</v>
      </c>
      <c r="K41" s="344" t="s">
        <v>442</v>
      </c>
      <c r="L41" s="345" t="s">
        <v>443</v>
      </c>
      <c r="M41" s="346" t="s">
        <v>444</v>
      </c>
      <c r="N41" s="347" t="s">
        <v>445</v>
      </c>
      <c r="O41" s="347"/>
      <c r="P41" s="346" t="s">
        <v>446</v>
      </c>
    </row>
    <row r="42" spans="1:40" x14ac:dyDescent="0.2">
      <c r="A42" s="321"/>
      <c r="C42" s="321" t="str">
        <f>C10</f>
        <v>Forecast</v>
      </c>
      <c r="E42" s="321" t="str">
        <f>E10</f>
        <v>Unloaded</v>
      </c>
      <c r="F42" s="321"/>
      <c r="G42" s="321"/>
      <c r="I42" s="322" t="str">
        <f>I10</f>
        <v>AFUDC</v>
      </c>
      <c r="J42" s="322"/>
      <c r="K42" s="322"/>
      <c r="L42" s="322"/>
      <c r="M42" s="322"/>
      <c r="N42" s="322"/>
      <c r="O42" s="321" t="str">
        <f t="shared" ref="O42:P44" si="5">O10</f>
        <v>Unloaded</v>
      </c>
      <c r="P42" s="321" t="str">
        <f t="shared" si="5"/>
        <v>Loaded</v>
      </c>
    </row>
    <row r="43" spans="1:40" x14ac:dyDescent="0.2">
      <c r="A43" s="321"/>
      <c r="B43" s="145"/>
      <c r="C43" s="321" t="str">
        <f>C11</f>
        <v>Period</v>
      </c>
      <c r="E43" s="321" t="str">
        <f>E11</f>
        <v>Total</v>
      </c>
      <c r="F43" s="321" t="str">
        <f t="shared" ref="F43:H44" si="6">F11</f>
        <v>Prior Period</v>
      </c>
      <c r="G43" s="322" t="str">
        <f t="shared" si="6"/>
        <v>Over Heads</v>
      </c>
      <c r="H43" s="322" t="str">
        <f t="shared" si="6"/>
        <v xml:space="preserve">Cost of </v>
      </c>
      <c r="I43" s="322" t="str">
        <f>I11</f>
        <v>Eligible Plant</v>
      </c>
      <c r="J43" s="322"/>
      <c r="K43" s="322" t="str">
        <f>K11</f>
        <v>Incremental</v>
      </c>
      <c r="L43" s="322" t="str">
        <f>L11</f>
        <v>Depreciation</v>
      </c>
      <c r="M43" s="322"/>
      <c r="N43" s="322"/>
      <c r="O43" s="322" t="str">
        <f t="shared" si="5"/>
        <v>Low Voltage</v>
      </c>
      <c r="P43" s="322" t="str">
        <f t="shared" si="5"/>
        <v>Low Voltage</v>
      </c>
    </row>
    <row r="44" spans="1:40" x14ac:dyDescent="0.2">
      <c r="A44" s="323" t="s">
        <v>170</v>
      </c>
      <c r="C44" s="128" t="str">
        <f t="shared" ref="C44:D44" si="7">C12</f>
        <v>Month</v>
      </c>
      <c r="D44" s="128" t="str">
        <f t="shared" si="7"/>
        <v>Year</v>
      </c>
      <c r="E44" s="318" t="str">
        <f>E12</f>
        <v>Plant Adds</v>
      </c>
      <c r="F44" s="318" t="str">
        <f t="shared" si="6"/>
        <v>CWIP Closed</v>
      </c>
      <c r="G44" s="324" t="str">
        <f t="shared" si="6"/>
        <v>Closed to PIS</v>
      </c>
      <c r="H44" s="324" t="str">
        <f t="shared" si="6"/>
        <v>Removal</v>
      </c>
      <c r="I44" s="324" t="str">
        <f>I12</f>
        <v>Additions</v>
      </c>
      <c r="J44" s="324" t="str">
        <f>J12</f>
        <v>AFUDC</v>
      </c>
      <c r="K44" s="324" t="str">
        <f>K12</f>
        <v>Gross Plant</v>
      </c>
      <c r="L44" s="324" t="str">
        <f>L12</f>
        <v>Accrual</v>
      </c>
      <c r="M44" s="324" t="str">
        <f>M12</f>
        <v>Reserve</v>
      </c>
      <c r="N44" s="324" t="str">
        <f>N12</f>
        <v>Net Plant</v>
      </c>
      <c r="O44" s="324" t="str">
        <f t="shared" si="5"/>
        <v>Additions</v>
      </c>
      <c r="P44" s="324" t="str">
        <f t="shared" si="5"/>
        <v>Additions</v>
      </c>
      <c r="T44" s="324"/>
      <c r="U44" s="324"/>
      <c r="V44" s="324"/>
      <c r="W44" s="324"/>
      <c r="X44" s="324"/>
      <c r="Y44" s="324"/>
    </row>
    <row r="45" spans="1:40" x14ac:dyDescent="0.2">
      <c r="A45" s="321">
        <f>A37+1</f>
        <v>26</v>
      </c>
      <c r="C45" s="130" t="s">
        <v>10</v>
      </c>
      <c r="D45" s="262">
        <v>2013</v>
      </c>
      <c r="E45" s="348">
        <v>145129213.62000015</v>
      </c>
      <c r="F45" s="348">
        <v>295022532.56000024</v>
      </c>
      <c r="G45" s="348">
        <v>-11241998.920500007</v>
      </c>
      <c r="H45" s="349">
        <v>0</v>
      </c>
      <c r="I45" s="328">
        <v>0</v>
      </c>
      <c r="J45" s="350">
        <v>0</v>
      </c>
      <c r="K45" s="326">
        <f>0+E45+G45</f>
        <v>133887214.69950014</v>
      </c>
      <c r="L45" s="327">
        <v>0</v>
      </c>
      <c r="M45" s="327">
        <f>L45</f>
        <v>0</v>
      </c>
      <c r="N45" s="326">
        <f t="shared" ref="N45:N68" si="8">K45-M45</f>
        <v>133887214.69950014</v>
      </c>
      <c r="O45" s="351">
        <v>0</v>
      </c>
      <c r="P45" s="350">
        <f t="shared" ref="P45:P68" si="9">O45*(1-$E$107)*(1+$E$103+$E$111)</f>
        <v>0</v>
      </c>
      <c r="S45" s="327"/>
      <c r="T45" s="352"/>
      <c r="U45" s="330"/>
      <c r="V45" s="331"/>
      <c r="W45" s="352"/>
      <c r="X45" s="330"/>
      <c r="Y45" s="331"/>
    </row>
    <row r="46" spans="1:40" x14ac:dyDescent="0.2">
      <c r="A46" s="321">
        <f t="shared" ref="A46:A99" si="10">A45+1</f>
        <v>27</v>
      </c>
      <c r="C46" s="118" t="s">
        <v>11</v>
      </c>
      <c r="D46" s="262">
        <v>2013</v>
      </c>
      <c r="E46" s="353">
        <v>8991321.8600000013</v>
      </c>
      <c r="F46" s="353">
        <v>8991321.8600000013</v>
      </c>
      <c r="G46" s="353">
        <v>0</v>
      </c>
      <c r="H46" s="349">
        <v>0</v>
      </c>
      <c r="I46" s="328">
        <v>0</v>
      </c>
      <c r="J46" s="350">
        <v>0</v>
      </c>
      <c r="K46" s="332">
        <f>K45+E46+G46</f>
        <v>142878536.55950016</v>
      </c>
      <c r="L46" s="326">
        <f t="shared" ref="L46:L68" si="11">K45*$E$133/12</f>
        <v>279869.57342012791</v>
      </c>
      <c r="M46" s="326">
        <f>M45+L46</f>
        <v>279869.57342012791</v>
      </c>
      <c r="N46" s="332">
        <f t="shared" si="8"/>
        <v>142598666.98608002</v>
      </c>
      <c r="O46" s="351">
        <v>0</v>
      </c>
      <c r="P46" s="350">
        <f t="shared" si="9"/>
        <v>0</v>
      </c>
      <c r="S46" s="327"/>
      <c r="T46" s="352"/>
      <c r="U46" s="330"/>
      <c r="V46" s="331"/>
      <c r="W46" s="352"/>
      <c r="X46" s="330"/>
      <c r="Y46" s="331"/>
    </row>
    <row r="47" spans="1:40" x14ac:dyDescent="0.2">
      <c r="A47" s="321">
        <f t="shared" si="10"/>
        <v>28</v>
      </c>
      <c r="C47" s="118" t="s">
        <v>21</v>
      </c>
      <c r="D47" s="262">
        <v>2013</v>
      </c>
      <c r="E47" s="353">
        <v>1822508.7900000007</v>
      </c>
      <c r="F47" s="348">
        <v>1822508.7900000007</v>
      </c>
      <c r="G47" s="353">
        <v>0</v>
      </c>
      <c r="H47" s="349">
        <v>0</v>
      </c>
      <c r="I47" s="328">
        <v>0</v>
      </c>
      <c r="J47" s="350">
        <v>0</v>
      </c>
      <c r="K47" s="332">
        <f t="shared" ref="K47:K68" si="12">K46+E47+G47</f>
        <v>144701045.34950015</v>
      </c>
      <c r="L47" s="332">
        <f t="shared" si="11"/>
        <v>298664.47791559552</v>
      </c>
      <c r="M47" s="332">
        <f t="shared" ref="M47:M68" si="13">M46+L47</f>
        <v>578534.05133572337</v>
      </c>
      <c r="N47" s="332">
        <f t="shared" si="8"/>
        <v>144122511.29816443</v>
      </c>
      <c r="O47" s="351">
        <v>0</v>
      </c>
      <c r="P47" s="350">
        <f t="shared" si="9"/>
        <v>0</v>
      </c>
      <c r="S47" s="327"/>
      <c r="T47" s="352"/>
      <c r="U47" s="330"/>
      <c r="V47" s="331"/>
      <c r="W47" s="352"/>
      <c r="X47" s="330"/>
      <c r="Y47" s="331"/>
    </row>
    <row r="48" spans="1:40" x14ac:dyDescent="0.2">
      <c r="A48" s="321">
        <f t="shared" si="10"/>
        <v>29</v>
      </c>
      <c r="C48" s="130" t="s">
        <v>12</v>
      </c>
      <c r="D48" s="262">
        <v>2013</v>
      </c>
      <c r="E48" s="353">
        <v>9184478.7328800019</v>
      </c>
      <c r="F48" s="348">
        <v>9184478.7328800019</v>
      </c>
      <c r="G48" s="353">
        <v>0</v>
      </c>
      <c r="H48" s="349">
        <v>0</v>
      </c>
      <c r="I48" s="328">
        <v>0</v>
      </c>
      <c r="J48" s="350">
        <v>0</v>
      </c>
      <c r="K48" s="332">
        <f t="shared" si="12"/>
        <v>153885524.08238015</v>
      </c>
      <c r="L48" s="332">
        <f t="shared" si="11"/>
        <v>302474.13785031397</v>
      </c>
      <c r="M48" s="332">
        <f t="shared" si="13"/>
        <v>881008.18918603729</v>
      </c>
      <c r="N48" s="332">
        <f t="shared" si="8"/>
        <v>153004515.89319411</v>
      </c>
      <c r="O48" s="351">
        <v>0</v>
      </c>
      <c r="P48" s="350">
        <f t="shared" si="9"/>
        <v>0</v>
      </c>
      <c r="S48" s="327"/>
      <c r="T48" s="352"/>
      <c r="U48" s="330"/>
      <c r="V48" s="331"/>
      <c r="W48" s="352"/>
      <c r="X48" s="330"/>
      <c r="Y48" s="331"/>
    </row>
    <row r="49" spans="1:25" x14ac:dyDescent="0.2">
      <c r="A49" s="321">
        <f t="shared" si="10"/>
        <v>30</v>
      </c>
      <c r="C49" s="118" t="s">
        <v>13</v>
      </c>
      <c r="D49" s="262">
        <v>2013</v>
      </c>
      <c r="E49" s="353">
        <v>578960192.14760208</v>
      </c>
      <c r="F49" s="348">
        <v>387475443.41800046</v>
      </c>
      <c r="G49" s="353">
        <v>14361356.154720124</v>
      </c>
      <c r="H49" s="349">
        <v>0</v>
      </c>
      <c r="I49" s="328">
        <v>0</v>
      </c>
      <c r="J49" s="350">
        <v>0</v>
      </c>
      <c r="K49" s="332">
        <f t="shared" si="12"/>
        <v>747207072.38470232</v>
      </c>
      <c r="L49" s="332">
        <f t="shared" si="11"/>
        <v>321672.80555601354</v>
      </c>
      <c r="M49" s="332">
        <f t="shared" si="13"/>
        <v>1202680.9947420508</v>
      </c>
      <c r="N49" s="332">
        <f t="shared" si="8"/>
        <v>746004391.38996029</v>
      </c>
      <c r="O49" s="351">
        <v>0</v>
      </c>
      <c r="P49" s="350">
        <f t="shared" si="9"/>
        <v>0</v>
      </c>
      <c r="S49" s="327"/>
      <c r="T49" s="352"/>
      <c r="U49" s="330"/>
      <c r="V49" s="331"/>
      <c r="W49" s="352"/>
      <c r="X49" s="330"/>
      <c r="Y49" s="331"/>
    </row>
    <row r="50" spans="1:25" x14ac:dyDescent="0.2">
      <c r="A50" s="321">
        <f t="shared" si="10"/>
        <v>31</v>
      </c>
      <c r="C50" s="118" t="s">
        <v>391</v>
      </c>
      <c r="D50" s="262">
        <v>2013</v>
      </c>
      <c r="E50" s="353">
        <v>304251817.18149155</v>
      </c>
      <c r="F50" s="348">
        <v>209603011.40799999</v>
      </c>
      <c r="G50" s="353">
        <v>7098660.4330118652</v>
      </c>
      <c r="H50" s="349">
        <v>0</v>
      </c>
      <c r="I50" s="328">
        <v>0</v>
      </c>
      <c r="J50" s="350">
        <v>0</v>
      </c>
      <c r="K50" s="332">
        <f>K49+E50+G50</f>
        <v>1058557549.9992057</v>
      </c>
      <c r="L50" s="332">
        <f t="shared" si="11"/>
        <v>1561915.5650833778</v>
      </c>
      <c r="M50" s="332">
        <f t="shared" si="13"/>
        <v>2764596.5598254288</v>
      </c>
      <c r="N50" s="332">
        <f>K50-M50</f>
        <v>1055792953.4393803</v>
      </c>
      <c r="O50" s="351">
        <v>0</v>
      </c>
      <c r="P50" s="350">
        <f t="shared" si="9"/>
        <v>0</v>
      </c>
      <c r="S50" s="327"/>
      <c r="T50" s="352"/>
      <c r="U50" s="330"/>
      <c r="V50" s="331"/>
      <c r="W50" s="352"/>
      <c r="X50" s="330"/>
      <c r="Y50" s="331"/>
    </row>
    <row r="51" spans="1:25" x14ac:dyDescent="0.2">
      <c r="A51" s="321">
        <f t="shared" si="10"/>
        <v>32</v>
      </c>
      <c r="C51" s="130" t="s">
        <v>14</v>
      </c>
      <c r="D51" s="262">
        <v>2013</v>
      </c>
      <c r="E51" s="353">
        <v>194772406.72720945</v>
      </c>
      <c r="F51" s="348">
        <v>125045980.76000008</v>
      </c>
      <c r="G51" s="353">
        <v>5229481.9475407014</v>
      </c>
      <c r="H51" s="349">
        <v>0</v>
      </c>
      <c r="I51" s="328">
        <v>0</v>
      </c>
      <c r="J51" s="350">
        <v>0</v>
      </c>
      <c r="K51" s="332">
        <f t="shared" si="12"/>
        <v>1258559438.6739559</v>
      </c>
      <c r="L51" s="332">
        <f t="shared" si="11"/>
        <v>2212743.3946838202</v>
      </c>
      <c r="M51" s="332">
        <f t="shared" si="13"/>
        <v>4977339.954509249</v>
      </c>
      <c r="N51" s="332">
        <f t="shared" si="8"/>
        <v>1253582098.7194467</v>
      </c>
      <c r="O51" s="351">
        <v>0</v>
      </c>
      <c r="P51" s="350">
        <f t="shared" si="9"/>
        <v>0</v>
      </c>
      <c r="S51" s="327"/>
      <c r="T51" s="352"/>
      <c r="U51" s="330"/>
      <c r="V51" s="331"/>
      <c r="W51" s="352"/>
      <c r="X51" s="330"/>
      <c r="Y51" s="331"/>
    </row>
    <row r="52" spans="1:25" x14ac:dyDescent="0.2">
      <c r="A52" s="321">
        <f t="shared" si="10"/>
        <v>33</v>
      </c>
      <c r="C52" s="118" t="s">
        <v>15</v>
      </c>
      <c r="D52" s="262">
        <v>2013</v>
      </c>
      <c r="E52" s="353">
        <v>28114442.870483499</v>
      </c>
      <c r="F52" s="348">
        <v>16238607.729999999</v>
      </c>
      <c r="G52" s="353">
        <v>890687.63553626265</v>
      </c>
      <c r="H52" s="349">
        <v>0</v>
      </c>
      <c r="I52" s="328">
        <v>0</v>
      </c>
      <c r="J52" s="350">
        <v>0</v>
      </c>
      <c r="K52" s="332">
        <f t="shared" si="12"/>
        <v>1287564569.1799755</v>
      </c>
      <c r="L52" s="332">
        <f t="shared" si="11"/>
        <v>2630815.003629101</v>
      </c>
      <c r="M52" s="332">
        <f t="shared" si="13"/>
        <v>7608154.9581383504</v>
      </c>
      <c r="N52" s="332">
        <f t="shared" si="8"/>
        <v>1279956414.221837</v>
      </c>
      <c r="O52" s="351">
        <v>0</v>
      </c>
      <c r="P52" s="350">
        <f t="shared" si="9"/>
        <v>0</v>
      </c>
      <c r="S52" s="327"/>
      <c r="T52" s="352"/>
      <c r="U52" s="330"/>
      <c r="V52" s="331"/>
      <c r="W52" s="352"/>
      <c r="X52" s="330"/>
      <c r="Y52" s="331"/>
    </row>
    <row r="53" spans="1:25" x14ac:dyDescent="0.2">
      <c r="A53" s="321">
        <f t="shared" si="10"/>
        <v>34</v>
      </c>
      <c r="C53" s="118" t="s">
        <v>16</v>
      </c>
      <c r="D53" s="262">
        <v>2013</v>
      </c>
      <c r="E53" s="353">
        <v>233905808.02632135</v>
      </c>
      <c r="F53" s="348">
        <v>169831199.51800036</v>
      </c>
      <c r="G53" s="353">
        <v>4805595.6381240739</v>
      </c>
      <c r="H53" s="349">
        <v>0</v>
      </c>
      <c r="I53" s="328">
        <v>0</v>
      </c>
      <c r="J53" s="350">
        <v>0</v>
      </c>
      <c r="K53" s="332">
        <f t="shared" si="12"/>
        <v>1526275972.8444209</v>
      </c>
      <c r="L53" s="332">
        <f t="shared" si="11"/>
        <v>2691445.538963892</v>
      </c>
      <c r="M53" s="332">
        <f t="shared" si="13"/>
        <v>10299600.497102242</v>
      </c>
      <c r="N53" s="332">
        <f t="shared" si="8"/>
        <v>1515976372.3473186</v>
      </c>
      <c r="O53" s="351">
        <v>0</v>
      </c>
      <c r="P53" s="350">
        <f t="shared" si="9"/>
        <v>0</v>
      </c>
      <c r="S53" s="327"/>
      <c r="T53" s="352"/>
      <c r="U53" s="330"/>
      <c r="V53" s="331"/>
      <c r="W53" s="352"/>
      <c r="X53" s="330"/>
      <c r="Y53" s="331"/>
    </row>
    <row r="54" spans="1:25" x14ac:dyDescent="0.2">
      <c r="A54" s="321">
        <f t="shared" si="10"/>
        <v>35</v>
      </c>
      <c r="C54" s="130" t="s">
        <v>390</v>
      </c>
      <c r="D54" s="262">
        <v>2013</v>
      </c>
      <c r="E54" s="353">
        <v>12102385.514751052</v>
      </c>
      <c r="F54" s="348">
        <v>2179499.4080000003</v>
      </c>
      <c r="G54" s="353">
        <v>744216.4580063289</v>
      </c>
      <c r="H54" s="349">
        <v>0</v>
      </c>
      <c r="I54" s="328">
        <v>0</v>
      </c>
      <c r="J54" s="350">
        <v>0</v>
      </c>
      <c r="K54" s="332">
        <f t="shared" si="12"/>
        <v>1539122574.8171782</v>
      </c>
      <c r="L54" s="332">
        <f t="shared" si="11"/>
        <v>3190433.1298554796</v>
      </c>
      <c r="M54" s="332">
        <f t="shared" si="13"/>
        <v>13490033.626957722</v>
      </c>
      <c r="N54" s="332">
        <f t="shared" si="8"/>
        <v>1525632541.1902206</v>
      </c>
      <c r="O54" s="351">
        <v>0</v>
      </c>
      <c r="P54" s="350">
        <f t="shared" si="9"/>
        <v>0</v>
      </c>
      <c r="S54" s="327"/>
      <c r="T54" s="352"/>
      <c r="U54" s="330"/>
      <c r="V54" s="331"/>
      <c r="W54" s="352"/>
      <c r="X54" s="330"/>
      <c r="Y54" s="331"/>
    </row>
    <row r="55" spans="1:25" x14ac:dyDescent="0.2">
      <c r="A55" s="321">
        <f t="shared" si="10"/>
        <v>36</v>
      </c>
      <c r="C55" s="130" t="s">
        <v>17</v>
      </c>
      <c r="D55" s="262">
        <v>2013</v>
      </c>
      <c r="E55" s="353">
        <v>220194519.14900795</v>
      </c>
      <c r="F55" s="348">
        <v>111091694.4000003</v>
      </c>
      <c r="G55" s="353">
        <v>8182711.8561755735</v>
      </c>
      <c r="H55" s="349">
        <v>0</v>
      </c>
      <c r="I55" s="328">
        <v>0</v>
      </c>
      <c r="J55" s="350">
        <v>0</v>
      </c>
      <c r="K55" s="332">
        <f t="shared" si="12"/>
        <v>1767499805.8223619</v>
      </c>
      <c r="L55" s="332">
        <f t="shared" si="11"/>
        <v>3217286.8740466875</v>
      </c>
      <c r="M55" s="332">
        <f t="shared" si="13"/>
        <v>16707320.501004409</v>
      </c>
      <c r="N55" s="332">
        <f t="shared" si="8"/>
        <v>1750792485.3213575</v>
      </c>
      <c r="O55" s="351">
        <v>0</v>
      </c>
      <c r="P55" s="350">
        <f t="shared" si="9"/>
        <v>0</v>
      </c>
      <c r="S55" s="327"/>
      <c r="T55" s="352"/>
      <c r="U55" s="330"/>
      <c r="V55" s="331"/>
      <c r="W55" s="352"/>
      <c r="X55" s="330"/>
      <c r="Y55" s="331"/>
    </row>
    <row r="56" spans="1:25" x14ac:dyDescent="0.2">
      <c r="A56" s="321">
        <f t="shared" si="10"/>
        <v>37</v>
      </c>
      <c r="C56" s="130" t="s">
        <v>9</v>
      </c>
      <c r="D56" s="262">
        <v>2013</v>
      </c>
      <c r="E56" s="353">
        <v>157400691.6953938</v>
      </c>
      <c r="F56" s="348">
        <v>85054377.630700752</v>
      </c>
      <c r="G56" s="353">
        <v>5425973.5548519762</v>
      </c>
      <c r="H56" s="349">
        <v>0</v>
      </c>
      <c r="I56" s="328">
        <v>0</v>
      </c>
      <c r="J56" s="350">
        <v>0</v>
      </c>
      <c r="K56" s="332">
        <f t="shared" si="12"/>
        <v>1930326471.0726078</v>
      </c>
      <c r="L56" s="332">
        <f t="shared" si="11"/>
        <v>3694672.5479793712</v>
      </c>
      <c r="M56" s="332">
        <f t="shared" si="13"/>
        <v>20401993.048983779</v>
      </c>
      <c r="N56" s="332">
        <f t="shared" si="8"/>
        <v>1909924478.0236239</v>
      </c>
      <c r="O56" s="351">
        <v>0</v>
      </c>
      <c r="P56" s="350">
        <f t="shared" si="9"/>
        <v>0</v>
      </c>
      <c r="S56" s="327"/>
      <c r="T56" s="352"/>
      <c r="U56" s="330"/>
      <c r="V56" s="331"/>
      <c r="W56" s="352"/>
      <c r="X56" s="330"/>
      <c r="Y56" s="331"/>
    </row>
    <row r="57" spans="1:25" x14ac:dyDescent="0.2">
      <c r="A57" s="321">
        <f t="shared" si="10"/>
        <v>38</v>
      </c>
      <c r="C57" s="130" t="s">
        <v>10</v>
      </c>
      <c r="D57" s="262">
        <v>2014</v>
      </c>
      <c r="E57" s="348">
        <v>14970553.580666667</v>
      </c>
      <c r="F57" s="348">
        <v>311404.80000000005</v>
      </c>
      <c r="G57" s="348">
        <v>1099436.1585500001</v>
      </c>
      <c r="H57" s="349">
        <v>0</v>
      </c>
      <c r="I57" s="328">
        <v>0</v>
      </c>
      <c r="J57" s="350">
        <v>0</v>
      </c>
      <c r="K57" s="332">
        <f t="shared" si="12"/>
        <v>1946396460.8118246</v>
      </c>
      <c r="L57" s="332">
        <f t="shared" si="11"/>
        <v>4035035.3634079187</v>
      </c>
      <c r="M57" s="332">
        <f t="shared" si="13"/>
        <v>24437028.412391696</v>
      </c>
      <c r="N57" s="332">
        <f t="shared" si="8"/>
        <v>1921959432.3994329</v>
      </c>
      <c r="O57" s="351">
        <v>0</v>
      </c>
      <c r="P57" s="350">
        <f t="shared" si="9"/>
        <v>0</v>
      </c>
      <c r="S57" s="327"/>
      <c r="T57" s="352"/>
      <c r="U57" s="330"/>
      <c r="V57" s="331"/>
      <c r="W57" s="352"/>
      <c r="X57" s="330"/>
      <c r="Y57" s="331"/>
    </row>
    <row r="58" spans="1:25" x14ac:dyDescent="0.2">
      <c r="A58" s="321">
        <f t="shared" si="10"/>
        <v>39</v>
      </c>
      <c r="C58" s="118" t="s">
        <v>11</v>
      </c>
      <c r="D58" s="262">
        <v>2014</v>
      </c>
      <c r="E58" s="348">
        <v>11816256.540666668</v>
      </c>
      <c r="F58" s="348">
        <v>370817.76</v>
      </c>
      <c r="G58" s="348">
        <v>858407.90854999993</v>
      </c>
      <c r="H58" s="349">
        <v>0</v>
      </c>
      <c r="I58" s="328">
        <v>0</v>
      </c>
      <c r="J58" s="350">
        <v>0</v>
      </c>
      <c r="K58" s="332">
        <f t="shared" si="12"/>
        <v>1959071125.2610412</v>
      </c>
      <c r="L58" s="332">
        <f t="shared" si="11"/>
        <v>4068627.07851884</v>
      </c>
      <c r="M58" s="332">
        <f t="shared" si="13"/>
        <v>28505655.490910538</v>
      </c>
      <c r="N58" s="332">
        <f t="shared" si="8"/>
        <v>1930565469.7701306</v>
      </c>
      <c r="O58" s="351">
        <v>0</v>
      </c>
      <c r="P58" s="350">
        <f t="shared" si="9"/>
        <v>0</v>
      </c>
      <c r="S58" s="327"/>
      <c r="T58" s="352"/>
      <c r="U58" s="330"/>
      <c r="V58" s="331"/>
      <c r="W58" s="352"/>
      <c r="X58" s="330"/>
      <c r="Y58" s="331"/>
    </row>
    <row r="59" spans="1:25" x14ac:dyDescent="0.2">
      <c r="A59" s="321">
        <f t="shared" si="10"/>
        <v>40</v>
      </c>
      <c r="C59" s="118" t="s">
        <v>21</v>
      </c>
      <c r="D59" s="262">
        <v>2014</v>
      </c>
      <c r="E59" s="348">
        <v>11147138.220666667</v>
      </c>
      <c r="F59" s="348">
        <v>437989.44</v>
      </c>
      <c r="G59" s="348">
        <v>803186.15854999993</v>
      </c>
      <c r="H59" s="349">
        <v>0</v>
      </c>
      <c r="I59" s="328">
        <v>0</v>
      </c>
      <c r="J59" s="350">
        <v>0</v>
      </c>
      <c r="K59" s="332">
        <f t="shared" si="12"/>
        <v>1971021449.6402578</v>
      </c>
      <c r="L59" s="332">
        <f t="shared" si="11"/>
        <v>4095121.4151185453</v>
      </c>
      <c r="M59" s="332">
        <f t="shared" si="13"/>
        <v>32600776.906029083</v>
      </c>
      <c r="N59" s="332">
        <f t="shared" si="8"/>
        <v>1938420672.7342288</v>
      </c>
      <c r="O59" s="351">
        <v>0</v>
      </c>
      <c r="P59" s="350">
        <f t="shared" si="9"/>
        <v>0</v>
      </c>
      <c r="S59" s="327"/>
      <c r="T59" s="352"/>
      <c r="U59" s="330"/>
      <c r="V59" s="331"/>
      <c r="W59" s="352"/>
      <c r="X59" s="330"/>
      <c r="Y59" s="331"/>
    </row>
    <row r="60" spans="1:25" x14ac:dyDescent="0.2">
      <c r="A60" s="321">
        <f t="shared" si="10"/>
        <v>41</v>
      </c>
      <c r="C60" s="130" t="s">
        <v>12</v>
      </c>
      <c r="D60" s="262">
        <v>2014</v>
      </c>
      <c r="E60" s="348">
        <v>5752812.583333333</v>
      </c>
      <c r="F60" s="348">
        <v>300000</v>
      </c>
      <c r="G60" s="348">
        <v>408960.94374999998</v>
      </c>
      <c r="H60" s="349">
        <v>0</v>
      </c>
      <c r="I60" s="328">
        <v>0</v>
      </c>
      <c r="J60" s="350">
        <v>0</v>
      </c>
      <c r="K60" s="332">
        <f t="shared" si="12"/>
        <v>1977183223.167341</v>
      </c>
      <c r="L60" s="332">
        <f t="shared" si="11"/>
        <v>4120101.6359241698</v>
      </c>
      <c r="M60" s="332">
        <f t="shared" si="13"/>
        <v>36720878.541953251</v>
      </c>
      <c r="N60" s="332">
        <f t="shared" si="8"/>
        <v>1940462344.6253877</v>
      </c>
      <c r="O60" s="351">
        <v>0</v>
      </c>
      <c r="P60" s="350">
        <f t="shared" si="9"/>
        <v>0</v>
      </c>
      <c r="S60" s="327"/>
      <c r="T60" s="352"/>
      <c r="U60" s="330"/>
      <c r="V60" s="331"/>
      <c r="W60" s="352"/>
      <c r="X60" s="330"/>
      <c r="Y60" s="331"/>
    </row>
    <row r="61" spans="1:25" x14ac:dyDescent="0.2">
      <c r="A61" s="321">
        <f t="shared" si="10"/>
        <v>42</v>
      </c>
      <c r="C61" s="118" t="s">
        <v>13</v>
      </c>
      <c r="D61" s="262">
        <v>2014</v>
      </c>
      <c r="E61" s="348">
        <v>4127812.5833333335</v>
      </c>
      <c r="F61" s="348">
        <v>300000</v>
      </c>
      <c r="G61" s="348">
        <v>287085.94374999998</v>
      </c>
      <c r="H61" s="349">
        <v>0</v>
      </c>
      <c r="I61" s="328">
        <v>0</v>
      </c>
      <c r="J61" s="350">
        <v>0</v>
      </c>
      <c r="K61" s="332">
        <f t="shared" si="12"/>
        <v>1981598121.6944242</v>
      </c>
      <c r="L61" s="332">
        <f t="shared" si="11"/>
        <v>4132981.8271538303</v>
      </c>
      <c r="M61" s="332">
        <f t="shared" si="13"/>
        <v>40853860.369107082</v>
      </c>
      <c r="N61" s="332">
        <f t="shared" si="8"/>
        <v>1940744261.3253171</v>
      </c>
      <c r="O61" s="351">
        <v>0</v>
      </c>
      <c r="P61" s="350">
        <f t="shared" si="9"/>
        <v>0</v>
      </c>
      <c r="S61" s="327"/>
      <c r="T61" s="352"/>
      <c r="U61" s="330"/>
      <c r="V61" s="331"/>
      <c r="W61" s="352"/>
      <c r="X61" s="330"/>
      <c r="Y61" s="331"/>
    </row>
    <row r="62" spans="1:25" x14ac:dyDescent="0.2">
      <c r="A62" s="321">
        <f t="shared" si="10"/>
        <v>43</v>
      </c>
      <c r="C62" s="118" t="s">
        <v>391</v>
      </c>
      <c r="D62" s="262">
        <v>2014</v>
      </c>
      <c r="E62" s="348">
        <v>4018645.583333333</v>
      </c>
      <c r="F62" s="348">
        <v>185633</v>
      </c>
      <c r="G62" s="348">
        <v>287475.94374999998</v>
      </c>
      <c r="H62" s="349">
        <v>0</v>
      </c>
      <c r="I62" s="328">
        <v>0</v>
      </c>
      <c r="J62" s="350">
        <v>0</v>
      </c>
      <c r="K62" s="332">
        <f t="shared" si="12"/>
        <v>1985904243.2215073</v>
      </c>
      <c r="L62" s="332">
        <f t="shared" si="11"/>
        <v>4142210.458657153</v>
      </c>
      <c r="M62" s="332">
        <f t="shared" si="13"/>
        <v>44996070.827764235</v>
      </c>
      <c r="N62" s="332">
        <f t="shared" si="8"/>
        <v>1940908172.393743</v>
      </c>
      <c r="O62" s="351">
        <v>0</v>
      </c>
      <c r="P62" s="350">
        <f t="shared" si="9"/>
        <v>0</v>
      </c>
      <c r="S62" s="327"/>
      <c r="T62" s="352"/>
      <c r="U62" s="330"/>
      <c r="V62" s="331"/>
      <c r="W62" s="352"/>
      <c r="X62" s="330"/>
      <c r="Y62" s="331"/>
    </row>
    <row r="63" spans="1:25" x14ac:dyDescent="0.2">
      <c r="A63" s="321">
        <f t="shared" si="10"/>
        <v>44</v>
      </c>
      <c r="C63" s="130" t="s">
        <v>14</v>
      </c>
      <c r="D63" s="262">
        <v>2014</v>
      </c>
      <c r="E63" s="348">
        <v>1474429.9166666665</v>
      </c>
      <c r="F63" s="348">
        <v>0</v>
      </c>
      <c r="G63" s="348">
        <v>110582.24374999999</v>
      </c>
      <c r="H63" s="349">
        <v>0</v>
      </c>
      <c r="I63" s="328">
        <v>0</v>
      </c>
      <c r="J63" s="350">
        <v>0</v>
      </c>
      <c r="K63" s="332">
        <f t="shared" si="12"/>
        <v>1987489255.3819242</v>
      </c>
      <c r="L63" s="332">
        <f t="shared" si="11"/>
        <v>4151211.7094306853</v>
      </c>
      <c r="M63" s="332">
        <f t="shared" si="13"/>
        <v>49147282.537194923</v>
      </c>
      <c r="N63" s="332">
        <f t="shared" si="8"/>
        <v>1938341972.8447292</v>
      </c>
      <c r="O63" s="351">
        <v>0</v>
      </c>
      <c r="P63" s="350">
        <f t="shared" si="9"/>
        <v>0</v>
      </c>
      <c r="S63" s="327"/>
      <c r="T63" s="352"/>
      <c r="U63" s="330"/>
      <c r="V63" s="331"/>
      <c r="W63" s="352"/>
      <c r="X63" s="330"/>
      <c r="Y63" s="331"/>
    </row>
    <row r="64" spans="1:25" x14ac:dyDescent="0.2">
      <c r="A64" s="321">
        <f t="shared" si="10"/>
        <v>45</v>
      </c>
      <c r="C64" s="118" t="s">
        <v>15</v>
      </c>
      <c r="D64" s="262">
        <v>2014</v>
      </c>
      <c r="E64" s="348">
        <v>1434529.9166666665</v>
      </c>
      <c r="F64" s="348">
        <v>0</v>
      </c>
      <c r="G64" s="348">
        <v>107589.74374999999</v>
      </c>
      <c r="H64" s="349">
        <v>0</v>
      </c>
      <c r="I64" s="328">
        <v>0</v>
      </c>
      <c r="J64" s="350">
        <v>0</v>
      </c>
      <c r="K64" s="332">
        <f t="shared" si="12"/>
        <v>1989031375.042341</v>
      </c>
      <c r="L64" s="332">
        <f t="shared" si="11"/>
        <v>4154524.9210633058</v>
      </c>
      <c r="M64" s="332">
        <f t="shared" si="13"/>
        <v>53301807.458258227</v>
      </c>
      <c r="N64" s="332">
        <f t="shared" si="8"/>
        <v>1935729567.5840828</v>
      </c>
      <c r="O64" s="351">
        <v>0</v>
      </c>
      <c r="P64" s="350">
        <f t="shared" si="9"/>
        <v>0</v>
      </c>
      <c r="S64" s="327"/>
      <c r="T64" s="352"/>
      <c r="U64" s="330"/>
      <c r="V64" s="331"/>
      <c r="W64" s="352"/>
      <c r="X64" s="330"/>
      <c r="Y64" s="331"/>
    </row>
    <row r="65" spans="1:25" x14ac:dyDescent="0.2">
      <c r="A65" s="321">
        <f t="shared" si="10"/>
        <v>46</v>
      </c>
      <c r="C65" s="118" t="s">
        <v>16</v>
      </c>
      <c r="D65" s="262">
        <v>2014</v>
      </c>
      <c r="E65" s="348">
        <v>1592479.9166666665</v>
      </c>
      <c r="F65" s="348">
        <v>157950</v>
      </c>
      <c r="G65" s="348">
        <v>107589.74374999999</v>
      </c>
      <c r="H65" s="349">
        <v>0</v>
      </c>
      <c r="I65" s="328">
        <v>0</v>
      </c>
      <c r="J65" s="350">
        <v>0</v>
      </c>
      <c r="K65" s="332">
        <f t="shared" si="12"/>
        <v>1990731444.7027578</v>
      </c>
      <c r="L65" s="332">
        <f t="shared" si="11"/>
        <v>4157748.472860185</v>
      </c>
      <c r="M65" s="332">
        <f t="shared" si="13"/>
        <v>57459555.931118414</v>
      </c>
      <c r="N65" s="332">
        <f t="shared" si="8"/>
        <v>1933271888.7716393</v>
      </c>
      <c r="O65" s="351">
        <v>0</v>
      </c>
      <c r="P65" s="350">
        <f t="shared" si="9"/>
        <v>0</v>
      </c>
      <c r="S65" s="327"/>
      <c r="T65" s="352"/>
      <c r="U65" s="330"/>
      <c r="V65" s="331"/>
      <c r="W65" s="352"/>
      <c r="X65" s="330"/>
      <c r="Y65" s="331"/>
    </row>
    <row r="66" spans="1:25" x14ac:dyDescent="0.2">
      <c r="A66" s="322">
        <f t="shared" si="10"/>
        <v>47</v>
      </c>
      <c r="C66" s="118" t="s">
        <v>18</v>
      </c>
      <c r="D66" s="262">
        <v>2014</v>
      </c>
      <c r="E66" s="348">
        <v>1431529.9166666665</v>
      </c>
      <c r="F66" s="348">
        <v>0</v>
      </c>
      <c r="G66" s="348">
        <v>107364.74374999999</v>
      </c>
      <c r="H66" s="349">
        <v>0</v>
      </c>
      <c r="I66" s="328">
        <v>0</v>
      </c>
      <c r="J66" s="350">
        <v>0</v>
      </c>
      <c r="K66" s="332">
        <f t="shared" si="12"/>
        <v>1992270339.3631747</v>
      </c>
      <c r="L66" s="332">
        <f t="shared" si="11"/>
        <v>4161302.1935923193</v>
      </c>
      <c r="M66" s="332">
        <f t="shared" si="13"/>
        <v>61620858.124710731</v>
      </c>
      <c r="N66" s="332">
        <f t="shared" si="8"/>
        <v>1930649481.2384639</v>
      </c>
      <c r="O66" s="351">
        <v>0</v>
      </c>
      <c r="P66" s="350">
        <f t="shared" si="9"/>
        <v>0</v>
      </c>
      <c r="S66" s="327"/>
      <c r="T66" s="352"/>
      <c r="U66" s="330"/>
      <c r="V66" s="331"/>
      <c r="W66" s="352"/>
      <c r="X66" s="330"/>
      <c r="Y66" s="331"/>
    </row>
    <row r="67" spans="1:25" x14ac:dyDescent="0.2">
      <c r="A67" s="322">
        <f t="shared" si="10"/>
        <v>48</v>
      </c>
      <c r="C67" s="118" t="s">
        <v>17</v>
      </c>
      <c r="D67" s="262">
        <v>2014</v>
      </c>
      <c r="E67" s="348">
        <v>1589529.9166666665</v>
      </c>
      <c r="F67" s="348">
        <v>0</v>
      </c>
      <c r="G67" s="348">
        <v>119214.74374999999</v>
      </c>
      <c r="H67" s="349">
        <v>0</v>
      </c>
      <c r="I67" s="328">
        <v>0</v>
      </c>
      <c r="J67" s="350">
        <v>0</v>
      </c>
      <c r="K67" s="332">
        <f t="shared" si="12"/>
        <v>1993979084.0235915</v>
      </c>
      <c r="L67" s="332">
        <f t="shared" si="11"/>
        <v>4164519.0040481649</v>
      </c>
      <c r="M67" s="332">
        <f t="shared" si="13"/>
        <v>65785377.128758892</v>
      </c>
      <c r="N67" s="332">
        <f t="shared" si="8"/>
        <v>1928193706.8948326</v>
      </c>
      <c r="O67" s="351">
        <v>0</v>
      </c>
      <c r="P67" s="350">
        <f t="shared" si="9"/>
        <v>0</v>
      </c>
      <c r="S67" s="327"/>
      <c r="T67" s="352"/>
      <c r="U67" s="330"/>
      <c r="V67" s="331"/>
      <c r="W67" s="352"/>
      <c r="X67" s="330"/>
      <c r="Y67" s="331"/>
    </row>
    <row r="68" spans="1:25" x14ac:dyDescent="0.2">
      <c r="A68" s="322">
        <f t="shared" si="10"/>
        <v>49</v>
      </c>
      <c r="C68" s="118" t="s">
        <v>9</v>
      </c>
      <c r="D68" s="262">
        <v>2014</v>
      </c>
      <c r="E68" s="348">
        <v>60839963.86666666</v>
      </c>
      <c r="F68" s="348">
        <v>15217238.950000001</v>
      </c>
      <c r="G68" s="348">
        <v>3421704.3687499994</v>
      </c>
      <c r="H68" s="349">
        <v>0</v>
      </c>
      <c r="I68" s="328">
        <v>0</v>
      </c>
      <c r="J68" s="350">
        <v>0</v>
      </c>
      <c r="K68" s="332">
        <f t="shared" si="12"/>
        <v>2058240752.2590082</v>
      </c>
      <c r="L68" s="332">
        <f t="shared" si="11"/>
        <v>4168090.8584650941</v>
      </c>
      <c r="M68" s="332">
        <f t="shared" si="13"/>
        <v>69953467.987223983</v>
      </c>
      <c r="N68" s="332">
        <f t="shared" si="8"/>
        <v>1988287284.2717843</v>
      </c>
      <c r="O68" s="351">
        <v>0</v>
      </c>
      <c r="P68" s="350">
        <f t="shared" si="9"/>
        <v>0</v>
      </c>
      <c r="S68" s="327"/>
      <c r="T68" s="352"/>
      <c r="U68" s="330"/>
      <c r="V68" s="331"/>
      <c r="W68" s="352"/>
      <c r="X68" s="330"/>
      <c r="Y68" s="331"/>
    </row>
    <row r="69" spans="1:25" x14ac:dyDescent="0.2">
      <c r="A69" s="321"/>
      <c r="D69" s="354"/>
      <c r="G69" s="327"/>
      <c r="M69" s="100"/>
      <c r="N69" s="328"/>
    </row>
    <row r="70" spans="1:25" x14ac:dyDescent="0.2">
      <c r="A70" s="321"/>
      <c r="B70" s="145" t="s">
        <v>447</v>
      </c>
      <c r="D70" s="354"/>
      <c r="G70" s="355"/>
      <c r="M70" s="100"/>
      <c r="N70" s="328"/>
    </row>
    <row r="71" spans="1:25" x14ac:dyDescent="0.2">
      <c r="A71" s="321"/>
      <c r="E71" s="317" t="s">
        <v>167</v>
      </c>
      <c r="F71" s="317" t="s">
        <v>168</v>
      </c>
      <c r="G71" s="317" t="s">
        <v>184</v>
      </c>
      <c r="H71" s="317" t="s">
        <v>185</v>
      </c>
      <c r="I71" s="317" t="s">
        <v>186</v>
      </c>
      <c r="J71" s="317" t="s">
        <v>187</v>
      </c>
      <c r="K71" s="317" t="s">
        <v>188</v>
      </c>
      <c r="L71" s="317" t="s">
        <v>350</v>
      </c>
      <c r="M71" s="317" t="s">
        <v>404</v>
      </c>
      <c r="N71" s="317" t="s">
        <v>403</v>
      </c>
      <c r="O71" s="317" t="s">
        <v>402</v>
      </c>
      <c r="P71" s="317" t="s">
        <v>401</v>
      </c>
    </row>
    <row r="72" spans="1:25" ht="25.5" x14ac:dyDescent="0.2">
      <c r="A72" s="321"/>
      <c r="E72" s="319"/>
      <c r="F72" s="319"/>
      <c r="G72" s="356" t="str">
        <f>"=(C"&amp;RIGHT(E71)&amp;"-C"&amp;RIGHT(F71)&amp;")*L"&amp;$A$103</f>
        <v>=(C1-C2)*L74</v>
      </c>
      <c r="H72" s="319" t="str">
        <f>"=(C"&amp;RIGHT(E71)&amp;"-C"&amp;RIGHT(F71)&amp;"+C"&amp;RIGHT(G71)&amp;")*L"&amp;$A$107</f>
        <v>=(C1-C2+C3)*L75</v>
      </c>
      <c r="I72" s="319" t="str">
        <f>"=C"&amp;RIGHT(E71)&amp;"-C"&amp;RIGHT(F71)&amp;"+C"&amp;RIGHT(G71)&amp;"-C"&amp;RIGHT(H71)</f>
        <v>=C1-C2+C3-C4</v>
      </c>
      <c r="J72" s="356" t="str">
        <f>"=C"&amp;RIGHT(I71)&amp;"*L"&amp;$A$111</f>
        <v>=C5*L76</v>
      </c>
      <c r="K72" s="344" t="s">
        <v>448</v>
      </c>
      <c r="L72" s="345" t="s">
        <v>443</v>
      </c>
      <c r="M72" s="346" t="s">
        <v>444</v>
      </c>
      <c r="N72" s="319" t="str">
        <f>"=C"&amp;RIGHT(K71)&amp;"-C"&amp;RIGHT(M71)</f>
        <v>=C7-C9</v>
      </c>
      <c r="P72" s="346" t="s">
        <v>446</v>
      </c>
    </row>
    <row r="73" spans="1:25" x14ac:dyDescent="0.2">
      <c r="A73" s="321"/>
      <c r="C73" s="321" t="str">
        <f>C10</f>
        <v>Forecast</v>
      </c>
      <c r="E73" s="321" t="str">
        <f>E10</f>
        <v>Unloaded</v>
      </c>
      <c r="F73" s="321"/>
      <c r="G73" s="321"/>
      <c r="H73" s="322"/>
      <c r="I73" s="322" t="str">
        <f>I10</f>
        <v>AFUDC</v>
      </c>
      <c r="J73" s="322"/>
      <c r="K73" s="322"/>
      <c r="L73" s="322"/>
      <c r="M73" s="322"/>
      <c r="O73" s="321" t="str">
        <f>O10</f>
        <v>Unloaded</v>
      </c>
      <c r="P73" s="321" t="str">
        <f>P10</f>
        <v>Loaded</v>
      </c>
    </row>
    <row r="74" spans="1:25" x14ac:dyDescent="0.2">
      <c r="A74" s="321"/>
      <c r="C74" s="321" t="str">
        <f>C11</f>
        <v>Period</v>
      </c>
      <c r="E74" s="321" t="str">
        <f>E11</f>
        <v>Total</v>
      </c>
      <c r="F74" s="321" t="str">
        <f t="shared" ref="F74:H75" si="14">F11</f>
        <v>Prior Period</v>
      </c>
      <c r="G74" s="322" t="str">
        <f t="shared" si="14"/>
        <v>Over Heads</v>
      </c>
      <c r="H74" s="322" t="str">
        <f t="shared" si="14"/>
        <v xml:space="preserve">Cost of </v>
      </c>
      <c r="I74" s="322" t="str">
        <f>I11</f>
        <v>Eligible Plant</v>
      </c>
      <c r="J74" s="322"/>
      <c r="K74" s="322" t="str">
        <f t="shared" ref="K74:M74" si="15">K11</f>
        <v>Incremental</v>
      </c>
      <c r="L74" s="322" t="str">
        <f t="shared" si="15"/>
        <v>Depreciation</v>
      </c>
      <c r="M74" s="322" t="str">
        <f t="shared" si="15"/>
        <v>Incremental</v>
      </c>
      <c r="O74" s="322" t="str">
        <f>O11</f>
        <v>Low Voltage</v>
      </c>
      <c r="P74" s="322" t="str">
        <f>P11</f>
        <v>Low Voltage</v>
      </c>
      <c r="Q74" s="321"/>
    </row>
    <row r="75" spans="1:25" x14ac:dyDescent="0.2">
      <c r="A75" s="323" t="s">
        <v>170</v>
      </c>
      <c r="C75" s="128" t="str">
        <f>C12</f>
        <v>Month</v>
      </c>
      <c r="D75" s="128" t="str">
        <f>D12</f>
        <v>Year</v>
      </c>
      <c r="E75" s="318" t="str">
        <f>E12</f>
        <v>Plant Adds</v>
      </c>
      <c r="F75" s="318" t="str">
        <f t="shared" si="14"/>
        <v>CWIP Closed</v>
      </c>
      <c r="G75" s="324" t="str">
        <f t="shared" si="14"/>
        <v>Closed to PIS</v>
      </c>
      <c r="H75" s="324" t="str">
        <f t="shared" si="14"/>
        <v>Removal</v>
      </c>
      <c r="I75" s="324" t="str">
        <f>I12</f>
        <v>Additions</v>
      </c>
      <c r="J75" s="324" t="str">
        <f t="shared" ref="J75:P75" si="16">J12</f>
        <v>AFUDC</v>
      </c>
      <c r="K75" s="324" t="str">
        <f t="shared" si="16"/>
        <v>Gross Plant</v>
      </c>
      <c r="L75" s="324" t="str">
        <f t="shared" si="16"/>
        <v>Accrual</v>
      </c>
      <c r="M75" s="324" t="str">
        <f t="shared" si="16"/>
        <v>Reserve</v>
      </c>
      <c r="N75" s="324" t="str">
        <f t="shared" si="16"/>
        <v>Net Plant</v>
      </c>
      <c r="O75" s="324" t="str">
        <f t="shared" si="16"/>
        <v>Additions</v>
      </c>
      <c r="P75" s="324" t="str">
        <f t="shared" si="16"/>
        <v>Additions</v>
      </c>
      <c r="Q75" s="324"/>
      <c r="S75" s="357"/>
      <c r="T75" s="324"/>
      <c r="U75" s="324"/>
      <c r="V75" s="324"/>
      <c r="W75" s="324"/>
      <c r="X75" s="324"/>
      <c r="Y75" s="324"/>
    </row>
    <row r="76" spans="1:25" ht="13.5" thickBot="1" x14ac:dyDescent="0.25">
      <c r="A76" s="321">
        <f>A68+1</f>
        <v>50</v>
      </c>
      <c r="C76" s="130" t="str">
        <f t="shared" ref="C76:C99" si="17">C45</f>
        <v>January</v>
      </c>
      <c r="D76" s="262">
        <v>2013</v>
      </c>
      <c r="E76" s="515">
        <v>4768901.1570750829</v>
      </c>
      <c r="F76" s="515">
        <v>0</v>
      </c>
      <c r="G76" s="328">
        <f t="shared" ref="G76:G99" si="18">(E76-F76)*$E$103</f>
        <v>357667.58678063122</v>
      </c>
      <c r="H76" s="327">
        <f t="shared" ref="H76:H99" si="19">(E76-F76+G76)*$E$107</f>
        <v>410125.49950845714</v>
      </c>
      <c r="I76" s="328">
        <f>E76-F76+G76-H76</f>
        <v>4716443.2443472566</v>
      </c>
      <c r="J76" s="328">
        <f t="shared" ref="J76:J99" si="20">I76*$E$111</f>
        <v>141493.2973304177</v>
      </c>
      <c r="K76" s="327">
        <f>F76+I76+J76</f>
        <v>4857936.5416776743</v>
      </c>
      <c r="L76" s="327">
        <v>0</v>
      </c>
      <c r="M76" s="327">
        <f>L76</f>
        <v>0</v>
      </c>
      <c r="N76" s="327">
        <f t="shared" ref="N76:N99" si="21">K76-M76</f>
        <v>4857936.5416776743</v>
      </c>
      <c r="O76" s="516">
        <v>0</v>
      </c>
      <c r="P76" s="327">
        <f t="shared" ref="P76:P99" si="22">O76*(1-$E$107)*(1+$E$103+$E$111)</f>
        <v>0</v>
      </c>
      <c r="Q76" s="352"/>
      <c r="R76" s="330"/>
      <c r="S76" s="352"/>
      <c r="T76" s="352"/>
      <c r="U76" s="330"/>
      <c r="V76" s="331"/>
      <c r="W76" s="352"/>
      <c r="X76" s="330"/>
      <c r="Y76" s="331"/>
    </row>
    <row r="77" spans="1:25" ht="13.5" thickBot="1" x14ac:dyDescent="0.25">
      <c r="A77" s="321">
        <f t="shared" si="10"/>
        <v>51</v>
      </c>
      <c r="C77" s="130" t="str">
        <f t="shared" si="17"/>
        <v>February</v>
      </c>
      <c r="D77" s="282">
        <v>2013</v>
      </c>
      <c r="E77" s="517">
        <v>21120909.881589688</v>
      </c>
      <c r="F77" s="518">
        <v>15158424.71739996</v>
      </c>
      <c r="G77" s="519">
        <f t="shared" si="18"/>
        <v>447186.38731422956</v>
      </c>
      <c r="H77" s="332">
        <f t="shared" si="19"/>
        <v>512773.72412031662</v>
      </c>
      <c r="I77" s="519">
        <f t="shared" ref="I77:I99" si="23">E77-F77+G77-H77</f>
        <v>5896897.8273836402</v>
      </c>
      <c r="J77" s="519">
        <f t="shared" si="20"/>
        <v>176906.9348215092</v>
      </c>
      <c r="K77" s="332">
        <f>K76+J77+I77+F77</f>
        <v>26090166.021282785</v>
      </c>
      <c r="L77" s="326">
        <f t="shared" ref="L77:L99" si="24">K76*$E$133/12</f>
        <v>10154.730835747663</v>
      </c>
      <c r="M77" s="326">
        <f>M76+L77</f>
        <v>10154.730835747663</v>
      </c>
      <c r="N77" s="332">
        <f t="shared" si="21"/>
        <v>26080011.290447038</v>
      </c>
      <c r="O77" s="516">
        <v>0</v>
      </c>
      <c r="P77" s="327">
        <f t="shared" si="22"/>
        <v>0</v>
      </c>
      <c r="Q77" s="352"/>
      <c r="R77" s="330"/>
      <c r="S77" s="352"/>
      <c r="T77" s="352"/>
      <c r="U77" s="330"/>
      <c r="V77" s="331"/>
      <c r="W77" s="352"/>
      <c r="X77" s="330"/>
      <c r="Y77" s="331"/>
    </row>
    <row r="78" spans="1:25" x14ac:dyDescent="0.2">
      <c r="A78" s="321">
        <f t="shared" si="10"/>
        <v>52</v>
      </c>
      <c r="C78" s="130" t="str">
        <f t="shared" si="17"/>
        <v>March</v>
      </c>
      <c r="D78" s="262">
        <v>2013</v>
      </c>
      <c r="E78" s="358">
        <v>4768901.157075081</v>
      </c>
      <c r="F78" s="358">
        <v>0</v>
      </c>
      <c r="G78" s="328">
        <f t="shared" si="18"/>
        <v>357667.58678063104</v>
      </c>
      <c r="H78" s="326">
        <f t="shared" si="19"/>
        <v>410125.49950845697</v>
      </c>
      <c r="I78" s="328">
        <f t="shared" si="23"/>
        <v>4716443.2443472547</v>
      </c>
      <c r="J78" s="328">
        <f t="shared" si="20"/>
        <v>141493.29733041764</v>
      </c>
      <c r="K78" s="332">
        <f t="shared" ref="K78:K99" si="25">K77+J78+I78+F78</f>
        <v>30948102.562960457</v>
      </c>
      <c r="L78" s="332">
        <f t="shared" si="24"/>
        <v>54537.273414979696</v>
      </c>
      <c r="M78" s="332">
        <f t="shared" ref="M78:M99" si="26">M77+L78</f>
        <v>64692.004250727361</v>
      </c>
      <c r="N78" s="332">
        <f t="shared" si="21"/>
        <v>30883410.558709729</v>
      </c>
      <c r="O78" s="516">
        <v>0</v>
      </c>
      <c r="P78" s="327">
        <f t="shared" si="22"/>
        <v>0</v>
      </c>
      <c r="Q78" s="352"/>
      <c r="R78" s="330"/>
      <c r="S78" s="352"/>
      <c r="T78" s="352"/>
      <c r="U78" s="330"/>
      <c r="V78" s="331"/>
      <c r="W78" s="352"/>
      <c r="X78" s="330"/>
      <c r="Y78" s="331"/>
    </row>
    <row r="79" spans="1:25" x14ac:dyDescent="0.2">
      <c r="A79" s="321">
        <f t="shared" si="10"/>
        <v>53</v>
      </c>
      <c r="C79" s="130" t="str">
        <f t="shared" si="17"/>
        <v>April</v>
      </c>
      <c r="D79" s="262">
        <v>2013</v>
      </c>
      <c r="E79" s="358">
        <v>17564681.557075083</v>
      </c>
      <c r="F79" s="358">
        <v>2977990.399999999</v>
      </c>
      <c r="G79" s="328">
        <f t="shared" si="18"/>
        <v>1094001.8367806312</v>
      </c>
      <c r="H79" s="326">
        <f t="shared" si="19"/>
        <v>1254455.4395084574</v>
      </c>
      <c r="I79" s="328">
        <f t="shared" si="23"/>
        <v>14426237.55434726</v>
      </c>
      <c r="J79" s="328">
        <f t="shared" si="20"/>
        <v>432787.12663041777</v>
      </c>
      <c r="K79" s="332">
        <f t="shared" si="25"/>
        <v>48785117.643938132</v>
      </c>
      <c r="L79" s="332">
        <f t="shared" si="24"/>
        <v>64692.004250727361</v>
      </c>
      <c r="M79" s="332">
        <f t="shared" si="26"/>
        <v>129384.00850145472</v>
      </c>
      <c r="N79" s="332">
        <f t="shared" si="21"/>
        <v>48655733.635436676</v>
      </c>
      <c r="O79" s="516">
        <v>0</v>
      </c>
      <c r="P79" s="327">
        <f t="shared" si="22"/>
        <v>0</v>
      </c>
      <c r="Q79" s="352"/>
      <c r="R79" s="330"/>
      <c r="S79" s="352"/>
      <c r="T79" s="352"/>
      <c r="U79" s="330"/>
      <c r="V79" s="331"/>
      <c r="W79" s="352"/>
      <c r="X79" s="330"/>
      <c r="Y79" s="331"/>
    </row>
    <row r="80" spans="1:25" x14ac:dyDescent="0.2">
      <c r="A80" s="321">
        <f t="shared" si="10"/>
        <v>54</v>
      </c>
      <c r="C80" s="130" t="str">
        <f t="shared" si="17"/>
        <v>May</v>
      </c>
      <c r="D80" s="262">
        <v>2013</v>
      </c>
      <c r="E80" s="358">
        <v>29530269.733475074</v>
      </c>
      <c r="F80" s="358">
        <v>18294697.576399993</v>
      </c>
      <c r="G80" s="328">
        <f t="shared" si="18"/>
        <v>842667.91178063105</v>
      </c>
      <c r="H80" s="326">
        <f t="shared" si="19"/>
        <v>966259.20550845703</v>
      </c>
      <c r="I80" s="328">
        <f t="shared" si="23"/>
        <v>11111980.863347255</v>
      </c>
      <c r="J80" s="328">
        <f t="shared" si="20"/>
        <v>333359.42590041761</v>
      </c>
      <c r="K80" s="332">
        <f t="shared" si="25"/>
        <v>78525155.509585798</v>
      </c>
      <c r="L80" s="332">
        <f t="shared" si="24"/>
        <v>101977.40011922659</v>
      </c>
      <c r="M80" s="332">
        <f t="shared" si="26"/>
        <v>231361.40862068132</v>
      </c>
      <c r="N80" s="332">
        <f t="shared" si="21"/>
        <v>78293794.100965112</v>
      </c>
      <c r="O80" s="516">
        <v>0</v>
      </c>
      <c r="P80" s="327">
        <f t="shared" si="22"/>
        <v>0</v>
      </c>
      <c r="Q80" s="352"/>
      <c r="R80" s="330"/>
      <c r="S80" s="352"/>
      <c r="T80" s="352"/>
      <c r="U80" s="330"/>
      <c r="V80" s="331"/>
      <c r="W80" s="352"/>
      <c r="X80" s="330"/>
      <c r="Y80" s="331"/>
    </row>
    <row r="81" spans="1:25" x14ac:dyDescent="0.2">
      <c r="A81" s="321">
        <f t="shared" si="10"/>
        <v>55</v>
      </c>
      <c r="C81" s="130" t="str">
        <f t="shared" si="17"/>
        <v xml:space="preserve">June </v>
      </c>
      <c r="D81" s="262">
        <v>2013</v>
      </c>
      <c r="E81" s="358">
        <v>18165708.387075096</v>
      </c>
      <c r="F81" s="358">
        <v>3090299.2299999986</v>
      </c>
      <c r="G81" s="328">
        <f t="shared" si="18"/>
        <v>1130655.6867806322</v>
      </c>
      <c r="H81" s="326">
        <f t="shared" si="19"/>
        <v>1296485.1875084583</v>
      </c>
      <c r="I81" s="328">
        <f t="shared" si="23"/>
        <v>14909579.656347271</v>
      </c>
      <c r="J81" s="328">
        <f t="shared" si="20"/>
        <v>447287.38969041809</v>
      </c>
      <c r="K81" s="332">
        <f t="shared" si="25"/>
        <v>96972321.785623491</v>
      </c>
      <c r="L81" s="332">
        <f t="shared" si="24"/>
        <v>164144.14045838712</v>
      </c>
      <c r="M81" s="332">
        <f t="shared" si="26"/>
        <v>395505.54907906847</v>
      </c>
      <c r="N81" s="332">
        <f t="shared" si="21"/>
        <v>96576816.236544415</v>
      </c>
      <c r="O81" s="516">
        <v>3222820.86</v>
      </c>
      <c r="P81" s="327">
        <f t="shared" si="22"/>
        <v>3276319.686276</v>
      </c>
      <c r="Q81" s="352"/>
      <c r="R81" s="330"/>
      <c r="S81" s="352"/>
      <c r="T81" s="352"/>
      <c r="U81" s="330"/>
      <c r="V81" s="331"/>
      <c r="W81" s="352"/>
      <c r="X81" s="330"/>
      <c r="Y81" s="331"/>
    </row>
    <row r="82" spans="1:25" x14ac:dyDescent="0.2">
      <c r="A82" s="321">
        <f t="shared" si="10"/>
        <v>56</v>
      </c>
      <c r="C82" s="130" t="str">
        <f t="shared" si="17"/>
        <v>July</v>
      </c>
      <c r="D82" s="262">
        <v>2013</v>
      </c>
      <c r="E82" s="358">
        <v>18937530.69007507</v>
      </c>
      <c r="F82" s="358">
        <v>11518629.533000005</v>
      </c>
      <c r="G82" s="328">
        <f t="shared" si="18"/>
        <v>556417.58678062982</v>
      </c>
      <c r="H82" s="326">
        <f t="shared" si="19"/>
        <v>638025.49950845551</v>
      </c>
      <c r="I82" s="328">
        <f t="shared" si="23"/>
        <v>7337293.2443472389</v>
      </c>
      <c r="J82" s="328">
        <f t="shared" si="20"/>
        <v>220118.79733041715</v>
      </c>
      <c r="K82" s="332">
        <f t="shared" si="25"/>
        <v>116048363.36030117</v>
      </c>
      <c r="L82" s="332">
        <f t="shared" si="24"/>
        <v>202704.9587416889</v>
      </c>
      <c r="M82" s="332">
        <f t="shared" si="26"/>
        <v>598210.50782075734</v>
      </c>
      <c r="N82" s="332">
        <f t="shared" si="21"/>
        <v>115450152.85248041</v>
      </c>
      <c r="O82" s="516">
        <v>3472820.86</v>
      </c>
      <c r="P82" s="327">
        <f t="shared" si="22"/>
        <v>3530469.686276</v>
      </c>
      <c r="Q82" s="352"/>
      <c r="R82" s="330"/>
      <c r="S82" s="352"/>
      <c r="T82" s="352"/>
      <c r="U82" s="330"/>
      <c r="V82" s="331"/>
      <c r="W82" s="352"/>
      <c r="X82" s="330"/>
      <c r="Y82" s="331"/>
    </row>
    <row r="83" spans="1:25" x14ac:dyDescent="0.2">
      <c r="A83" s="321">
        <f t="shared" si="10"/>
        <v>57</v>
      </c>
      <c r="C83" s="130" t="str">
        <f t="shared" si="17"/>
        <v>August</v>
      </c>
      <c r="D83" s="262">
        <v>2013</v>
      </c>
      <c r="E83" s="358">
        <v>6882539.0370751023</v>
      </c>
      <c r="F83" s="358">
        <v>72548.880000000034</v>
      </c>
      <c r="G83" s="328">
        <f t="shared" si="18"/>
        <v>510749.26178063266</v>
      </c>
      <c r="H83" s="326">
        <f t="shared" si="19"/>
        <v>585659.15350845887</v>
      </c>
      <c r="I83" s="328">
        <f t="shared" si="23"/>
        <v>6735080.2653472759</v>
      </c>
      <c r="J83" s="328">
        <f t="shared" si="20"/>
        <v>202052.40796041826</v>
      </c>
      <c r="K83" s="332">
        <f t="shared" si="25"/>
        <v>123058044.91360885</v>
      </c>
      <c r="L83" s="332">
        <f t="shared" si="24"/>
        <v>242580.33915073102</v>
      </c>
      <c r="M83" s="332">
        <f t="shared" si="26"/>
        <v>840790.84697148832</v>
      </c>
      <c r="N83" s="332">
        <f t="shared" si="21"/>
        <v>122217254.06663737</v>
      </c>
      <c r="O83" s="516">
        <v>3472820.86</v>
      </c>
      <c r="P83" s="327">
        <f t="shared" si="22"/>
        <v>3530469.686276</v>
      </c>
      <c r="Q83" s="352"/>
      <c r="R83" s="330"/>
      <c r="S83" s="352"/>
      <c r="T83" s="352"/>
      <c r="U83" s="330"/>
      <c r="V83" s="331"/>
      <c r="W83" s="352"/>
      <c r="X83" s="330"/>
      <c r="Y83" s="331"/>
    </row>
    <row r="84" spans="1:25" x14ac:dyDescent="0.2">
      <c r="A84" s="321">
        <f t="shared" si="10"/>
        <v>58</v>
      </c>
      <c r="C84" s="130" t="str">
        <f t="shared" si="17"/>
        <v>September</v>
      </c>
      <c r="D84" s="262">
        <v>2013</v>
      </c>
      <c r="E84" s="358">
        <v>4768901.1570750773</v>
      </c>
      <c r="F84" s="358">
        <v>0</v>
      </c>
      <c r="G84" s="328">
        <f t="shared" si="18"/>
        <v>357667.58678063081</v>
      </c>
      <c r="H84" s="326">
        <f t="shared" si="19"/>
        <v>410125.49950845668</v>
      </c>
      <c r="I84" s="328">
        <f t="shared" si="23"/>
        <v>4716443.244347252</v>
      </c>
      <c r="J84" s="328">
        <f t="shared" si="20"/>
        <v>141493.29733041755</v>
      </c>
      <c r="K84" s="332">
        <f t="shared" si="25"/>
        <v>127915981.45528653</v>
      </c>
      <c r="L84" s="332">
        <f t="shared" si="24"/>
        <v>257232.94500662448</v>
      </c>
      <c r="M84" s="332">
        <f t="shared" si="26"/>
        <v>1098023.7919781129</v>
      </c>
      <c r="N84" s="332">
        <f t="shared" si="21"/>
        <v>126817957.66330843</v>
      </c>
      <c r="O84" s="516">
        <v>3472820.86</v>
      </c>
      <c r="P84" s="327">
        <f t="shared" si="22"/>
        <v>3530469.686276</v>
      </c>
      <c r="Q84" s="352"/>
      <c r="R84" s="330"/>
      <c r="S84" s="352"/>
      <c r="T84" s="352"/>
      <c r="U84" s="330"/>
      <c r="V84" s="331"/>
      <c r="W84" s="352"/>
      <c r="X84" s="330"/>
      <c r="Y84" s="331"/>
    </row>
    <row r="85" spans="1:25" x14ac:dyDescent="0.2">
      <c r="A85" s="321">
        <f t="shared" si="10"/>
        <v>59</v>
      </c>
      <c r="C85" s="130" t="str">
        <f t="shared" si="17"/>
        <v xml:space="preserve">October </v>
      </c>
      <c r="D85" s="262">
        <v>2013</v>
      </c>
      <c r="E85" s="358">
        <v>11940101.289075106</v>
      </c>
      <c r="F85" s="358">
        <v>6881200.1320000021</v>
      </c>
      <c r="G85" s="328">
        <f t="shared" si="18"/>
        <v>379417.58678063279</v>
      </c>
      <c r="H85" s="326">
        <f t="shared" si="19"/>
        <v>435065.499508459</v>
      </c>
      <c r="I85" s="328">
        <f t="shared" si="23"/>
        <v>5003253.244347278</v>
      </c>
      <c r="J85" s="328">
        <f t="shared" si="20"/>
        <v>150097.59733041833</v>
      </c>
      <c r="K85" s="332">
        <f t="shared" si="25"/>
        <v>139950532.42896423</v>
      </c>
      <c r="L85" s="332">
        <f t="shared" si="24"/>
        <v>267387.67584237218</v>
      </c>
      <c r="M85" s="332">
        <f t="shared" si="26"/>
        <v>1365411.4678204851</v>
      </c>
      <c r="N85" s="332">
        <f t="shared" si="21"/>
        <v>138585120.96114373</v>
      </c>
      <c r="O85" s="516">
        <v>3472820.86</v>
      </c>
      <c r="P85" s="327">
        <f t="shared" si="22"/>
        <v>3530469.686276</v>
      </c>
      <c r="Q85" s="352"/>
      <c r="R85" s="330"/>
      <c r="S85" s="352"/>
      <c r="T85" s="352"/>
      <c r="U85" s="330"/>
      <c r="V85" s="331"/>
      <c r="W85" s="352"/>
      <c r="X85" s="330"/>
      <c r="Y85" s="331"/>
    </row>
    <row r="86" spans="1:25" x14ac:dyDescent="0.2">
      <c r="A86" s="321">
        <f t="shared" si="10"/>
        <v>60</v>
      </c>
      <c r="C86" s="130" t="str">
        <f t="shared" si="17"/>
        <v>November</v>
      </c>
      <c r="D86" s="262">
        <v>2013</v>
      </c>
      <c r="E86" s="358">
        <v>4768901.1570750773</v>
      </c>
      <c r="F86" s="358">
        <v>0</v>
      </c>
      <c r="G86" s="328">
        <f t="shared" si="18"/>
        <v>357667.58678063081</v>
      </c>
      <c r="H86" s="326">
        <f t="shared" si="19"/>
        <v>410125.49950845668</v>
      </c>
      <c r="I86" s="328">
        <f t="shared" si="23"/>
        <v>4716443.244347252</v>
      </c>
      <c r="J86" s="328">
        <f t="shared" si="20"/>
        <v>141493.29733041755</v>
      </c>
      <c r="K86" s="332">
        <f t="shared" si="25"/>
        <v>144808468.97064188</v>
      </c>
      <c r="L86" s="332">
        <f t="shared" si="24"/>
        <v>292543.95872468787</v>
      </c>
      <c r="M86" s="332">
        <f t="shared" si="26"/>
        <v>1657955.4265451729</v>
      </c>
      <c r="N86" s="332">
        <f t="shared" si="21"/>
        <v>143150513.54409671</v>
      </c>
      <c r="O86" s="516">
        <v>3472820.86</v>
      </c>
      <c r="P86" s="327">
        <f t="shared" si="22"/>
        <v>3530469.686276</v>
      </c>
      <c r="Q86" s="352"/>
      <c r="R86" s="330"/>
      <c r="S86" s="352"/>
      <c r="T86" s="352"/>
      <c r="U86" s="330"/>
      <c r="V86" s="331"/>
      <c r="W86" s="352"/>
      <c r="X86" s="330"/>
      <c r="Y86" s="331"/>
    </row>
    <row r="87" spans="1:25" x14ac:dyDescent="0.2">
      <c r="A87" s="321">
        <f t="shared" si="10"/>
        <v>61</v>
      </c>
      <c r="C87" s="130" t="str">
        <f t="shared" si="17"/>
        <v>December</v>
      </c>
      <c r="D87" s="262">
        <v>2013</v>
      </c>
      <c r="E87" s="358">
        <v>21681046.266475052</v>
      </c>
      <c r="F87" s="358">
        <v>8687283.1593999974</v>
      </c>
      <c r="G87" s="328">
        <f t="shared" si="18"/>
        <v>974532.233030629</v>
      </c>
      <c r="H87" s="326">
        <f t="shared" si="19"/>
        <v>1117463.6272084545</v>
      </c>
      <c r="I87" s="328">
        <f t="shared" si="23"/>
        <v>12850831.712897228</v>
      </c>
      <c r="J87" s="328">
        <f t="shared" si="20"/>
        <v>385524.9513869168</v>
      </c>
      <c r="K87" s="332">
        <f t="shared" si="25"/>
        <v>166732108.79432604</v>
      </c>
      <c r="L87" s="332">
        <f t="shared" si="24"/>
        <v>302698.68956043548</v>
      </c>
      <c r="M87" s="332">
        <f t="shared" si="26"/>
        <v>1960654.1161056084</v>
      </c>
      <c r="N87" s="332">
        <f t="shared" si="21"/>
        <v>164771454.67822042</v>
      </c>
      <c r="O87" s="516">
        <v>3472820.86</v>
      </c>
      <c r="P87" s="327">
        <f t="shared" si="22"/>
        <v>3530469.686276</v>
      </c>
      <c r="Q87" s="352"/>
      <c r="R87" s="330"/>
      <c r="S87" s="352"/>
      <c r="T87" s="352"/>
      <c r="U87" s="330"/>
      <c r="V87" s="331"/>
      <c r="W87" s="352"/>
      <c r="X87" s="330"/>
      <c r="Y87" s="331"/>
    </row>
    <row r="88" spans="1:25" x14ac:dyDescent="0.2">
      <c r="A88" s="321">
        <f t="shared" si="10"/>
        <v>62</v>
      </c>
      <c r="C88" s="130" t="str">
        <f t="shared" si="17"/>
        <v>January</v>
      </c>
      <c r="D88" s="262">
        <v>2014</v>
      </c>
      <c r="E88" s="358">
        <v>4374730.1149410903</v>
      </c>
      <c r="F88" s="358">
        <v>0</v>
      </c>
      <c r="G88" s="328">
        <f t="shared" si="18"/>
        <v>328104.75862058176</v>
      </c>
      <c r="H88" s="326">
        <f t="shared" si="19"/>
        <v>376226.78988493374</v>
      </c>
      <c r="I88" s="328">
        <f t="shared" si="23"/>
        <v>4326608.0836767387</v>
      </c>
      <c r="J88" s="328">
        <f t="shared" si="20"/>
        <v>129798.24251030215</v>
      </c>
      <c r="K88" s="332">
        <f t="shared" si="25"/>
        <v>171188515.12051305</v>
      </c>
      <c r="L88" s="332">
        <f t="shared" si="24"/>
        <v>348526.5136662866</v>
      </c>
      <c r="M88" s="332">
        <f t="shared" si="26"/>
        <v>2309180.6297718948</v>
      </c>
      <c r="N88" s="332">
        <f t="shared" si="21"/>
        <v>168879334.49074116</v>
      </c>
      <c r="O88" s="516">
        <v>3472820.86</v>
      </c>
      <c r="P88" s="327">
        <f t="shared" si="22"/>
        <v>3530469.686276</v>
      </c>
      <c r="Q88" s="352"/>
      <c r="R88" s="330"/>
      <c r="S88" s="352"/>
      <c r="T88" s="352"/>
      <c r="U88" s="330"/>
      <c r="V88" s="331"/>
      <c r="W88" s="352"/>
      <c r="X88" s="330"/>
      <c r="Y88" s="331"/>
    </row>
    <row r="89" spans="1:25" x14ac:dyDescent="0.2">
      <c r="A89" s="321">
        <f t="shared" si="10"/>
        <v>63</v>
      </c>
      <c r="C89" s="130" t="str">
        <f t="shared" si="17"/>
        <v>February</v>
      </c>
      <c r="D89" s="262">
        <v>2014</v>
      </c>
      <c r="E89" s="358">
        <v>4374730.1149410903</v>
      </c>
      <c r="F89" s="358">
        <v>0</v>
      </c>
      <c r="G89" s="328">
        <f t="shared" si="18"/>
        <v>328104.75862058176</v>
      </c>
      <c r="H89" s="326">
        <f t="shared" si="19"/>
        <v>376226.78988493374</v>
      </c>
      <c r="I89" s="328">
        <f t="shared" si="23"/>
        <v>4326608.0836767387</v>
      </c>
      <c r="J89" s="328">
        <f t="shared" si="20"/>
        <v>129798.24251030215</v>
      </c>
      <c r="K89" s="332">
        <f t="shared" si="25"/>
        <v>175644921.44670007</v>
      </c>
      <c r="L89" s="332">
        <f t="shared" si="24"/>
        <v>357841.91051202716</v>
      </c>
      <c r="M89" s="332">
        <f t="shared" si="26"/>
        <v>2667022.5402839221</v>
      </c>
      <c r="N89" s="332">
        <f t="shared" si="21"/>
        <v>172977898.90641615</v>
      </c>
      <c r="O89" s="516">
        <v>3472820.86</v>
      </c>
      <c r="P89" s="327">
        <f t="shared" si="22"/>
        <v>3530469.686276</v>
      </c>
      <c r="Q89" s="352"/>
      <c r="R89" s="330"/>
      <c r="S89" s="352"/>
      <c r="T89" s="352"/>
      <c r="U89" s="330"/>
      <c r="V89" s="331"/>
      <c r="W89" s="352"/>
      <c r="X89" s="330"/>
      <c r="Y89" s="331"/>
    </row>
    <row r="90" spans="1:25" x14ac:dyDescent="0.2">
      <c r="A90" s="321">
        <f t="shared" si="10"/>
        <v>64</v>
      </c>
      <c r="C90" s="130" t="str">
        <f t="shared" si="17"/>
        <v>March</v>
      </c>
      <c r="D90" s="262">
        <v>2014</v>
      </c>
      <c r="E90" s="358">
        <v>193069980.97726807</v>
      </c>
      <c r="F90" s="358">
        <v>60611247.329999991</v>
      </c>
      <c r="G90" s="328">
        <f t="shared" si="18"/>
        <v>9934405.0235451069</v>
      </c>
      <c r="H90" s="326">
        <f t="shared" si="19"/>
        <v>11391451.093665056</v>
      </c>
      <c r="I90" s="328">
        <f t="shared" si="23"/>
        <v>131001687.57714814</v>
      </c>
      <c r="J90" s="328">
        <f t="shared" si="20"/>
        <v>3930050.6273144442</v>
      </c>
      <c r="K90" s="332">
        <f t="shared" si="25"/>
        <v>371187906.98116261</v>
      </c>
      <c r="L90" s="332">
        <f t="shared" si="24"/>
        <v>367157.30735776783</v>
      </c>
      <c r="M90" s="332">
        <f t="shared" si="26"/>
        <v>3034179.8476416897</v>
      </c>
      <c r="N90" s="332">
        <f t="shared" si="21"/>
        <v>368153727.1335209</v>
      </c>
      <c r="O90" s="516">
        <v>3472820.86</v>
      </c>
      <c r="P90" s="327">
        <f t="shared" si="22"/>
        <v>3530469.686276</v>
      </c>
      <c r="Q90" s="352"/>
      <c r="R90" s="330"/>
      <c r="S90" s="352"/>
      <c r="T90" s="352"/>
      <c r="U90" s="330"/>
      <c r="V90" s="331"/>
      <c r="W90" s="352"/>
      <c r="X90" s="330"/>
      <c r="Y90" s="331"/>
    </row>
    <row r="91" spans="1:25" x14ac:dyDescent="0.2">
      <c r="A91" s="321">
        <f t="shared" si="10"/>
        <v>65</v>
      </c>
      <c r="C91" s="130" t="str">
        <f t="shared" si="17"/>
        <v>April</v>
      </c>
      <c r="D91" s="262">
        <v>2014</v>
      </c>
      <c r="E91" s="358">
        <v>54128756.694941103</v>
      </c>
      <c r="F91" s="358">
        <v>2284156.5799999977</v>
      </c>
      <c r="G91" s="328">
        <f t="shared" si="18"/>
        <v>3888345.0086205825</v>
      </c>
      <c r="H91" s="326">
        <f t="shared" si="19"/>
        <v>4458635.6098849354</v>
      </c>
      <c r="I91" s="328">
        <f t="shared" si="23"/>
        <v>51274309.513676755</v>
      </c>
      <c r="J91" s="328">
        <f t="shared" si="20"/>
        <v>1538229.2854103027</v>
      </c>
      <c r="K91" s="332">
        <f t="shared" si="25"/>
        <v>426284602.36024964</v>
      </c>
      <c r="L91" s="332">
        <f t="shared" si="24"/>
        <v>775908.30027115298</v>
      </c>
      <c r="M91" s="332">
        <f t="shared" si="26"/>
        <v>3810088.1479128427</v>
      </c>
      <c r="N91" s="332">
        <f t="shared" si="21"/>
        <v>422474514.21233678</v>
      </c>
      <c r="O91" s="516">
        <v>3472820.86</v>
      </c>
      <c r="P91" s="327">
        <f t="shared" si="22"/>
        <v>3530469.686276</v>
      </c>
      <c r="Q91" s="352"/>
      <c r="R91" s="330"/>
      <c r="S91" s="352"/>
      <c r="T91" s="352"/>
      <c r="U91" s="330"/>
      <c r="V91" s="331"/>
      <c r="W91" s="352"/>
      <c r="X91" s="330"/>
      <c r="Y91" s="331"/>
    </row>
    <row r="92" spans="1:25" x14ac:dyDescent="0.2">
      <c r="A92" s="321">
        <f t="shared" si="10"/>
        <v>66</v>
      </c>
      <c r="C92" s="130" t="str">
        <f t="shared" si="17"/>
        <v>May</v>
      </c>
      <c r="D92" s="262">
        <v>2014</v>
      </c>
      <c r="E92" s="358">
        <v>4374730.1149410605</v>
      </c>
      <c r="F92" s="358">
        <v>0</v>
      </c>
      <c r="G92" s="328">
        <f t="shared" si="18"/>
        <v>328104.75862057955</v>
      </c>
      <c r="H92" s="326">
        <f t="shared" si="19"/>
        <v>376226.78988493123</v>
      </c>
      <c r="I92" s="328">
        <f t="shared" si="23"/>
        <v>4326608.0836767089</v>
      </c>
      <c r="J92" s="328">
        <f t="shared" si="20"/>
        <v>129798.24251030126</v>
      </c>
      <c r="K92" s="332">
        <f t="shared" si="25"/>
        <v>430741008.68643665</v>
      </c>
      <c r="L92" s="332">
        <f t="shared" si="24"/>
        <v>891079.03309439251</v>
      </c>
      <c r="M92" s="332">
        <f t="shared" si="26"/>
        <v>4701167.1810072353</v>
      </c>
      <c r="N92" s="332">
        <f t="shared" si="21"/>
        <v>426039841.50542945</v>
      </c>
      <c r="O92" s="516">
        <v>3472820.86</v>
      </c>
      <c r="P92" s="327">
        <f t="shared" si="22"/>
        <v>3530469.686276</v>
      </c>
      <c r="Q92" s="352"/>
      <c r="R92" s="330"/>
      <c r="S92" s="352"/>
      <c r="T92" s="352"/>
      <c r="U92" s="330"/>
      <c r="V92" s="331"/>
      <c r="W92" s="352"/>
      <c r="X92" s="330"/>
      <c r="Y92" s="331"/>
    </row>
    <row r="93" spans="1:25" x14ac:dyDescent="0.2">
      <c r="A93" s="321">
        <f t="shared" si="10"/>
        <v>67</v>
      </c>
      <c r="C93" s="130" t="str">
        <f t="shared" si="17"/>
        <v xml:space="preserve">June </v>
      </c>
      <c r="D93" s="262">
        <v>2014</v>
      </c>
      <c r="E93" s="358">
        <v>9541235.7582851052</v>
      </c>
      <c r="F93" s="358">
        <v>1108453.4639999995</v>
      </c>
      <c r="G93" s="328">
        <f t="shared" si="18"/>
        <v>632458.67207138287</v>
      </c>
      <c r="H93" s="326">
        <f t="shared" si="19"/>
        <v>725219.277308519</v>
      </c>
      <c r="I93" s="328">
        <f t="shared" si="23"/>
        <v>8340021.6890479689</v>
      </c>
      <c r="J93" s="328">
        <f t="shared" si="20"/>
        <v>250200.65067143907</v>
      </c>
      <c r="K93" s="332">
        <f t="shared" si="25"/>
        <v>440439684.49015605</v>
      </c>
      <c r="L93" s="332">
        <f t="shared" si="24"/>
        <v>900394.42994013301</v>
      </c>
      <c r="M93" s="332">
        <f t="shared" si="26"/>
        <v>5601561.6109473687</v>
      </c>
      <c r="N93" s="332">
        <f t="shared" si="21"/>
        <v>434838122.87920868</v>
      </c>
      <c r="O93" s="516">
        <v>5659596.4633439835</v>
      </c>
      <c r="P93" s="327">
        <f t="shared" si="22"/>
        <v>5753545.764635494</v>
      </c>
      <c r="Q93" s="352"/>
      <c r="R93" s="330"/>
      <c r="S93" s="352"/>
      <c r="T93" s="352"/>
      <c r="U93" s="330"/>
      <c r="V93" s="331"/>
      <c r="W93" s="352"/>
      <c r="X93" s="330"/>
      <c r="Y93" s="331"/>
    </row>
    <row r="94" spans="1:25" x14ac:dyDescent="0.2">
      <c r="A94" s="321">
        <f t="shared" si="10"/>
        <v>68</v>
      </c>
      <c r="C94" s="130" t="str">
        <f t="shared" si="17"/>
        <v>July</v>
      </c>
      <c r="D94" s="262">
        <v>2014</v>
      </c>
      <c r="E94" s="358">
        <v>7365155.0999410748</v>
      </c>
      <c r="F94" s="358">
        <v>490424.9850000001</v>
      </c>
      <c r="G94" s="328">
        <f t="shared" si="18"/>
        <v>515604.75862058054</v>
      </c>
      <c r="H94" s="326">
        <f t="shared" si="19"/>
        <v>591226.78988493246</v>
      </c>
      <c r="I94" s="328">
        <f t="shared" si="23"/>
        <v>6799108.0836767228</v>
      </c>
      <c r="J94" s="328">
        <f t="shared" si="20"/>
        <v>203973.24251030167</v>
      </c>
      <c r="K94" s="332">
        <f t="shared" si="25"/>
        <v>447933190.80134308</v>
      </c>
      <c r="L94" s="332">
        <f t="shared" si="24"/>
        <v>920667.94347926555</v>
      </c>
      <c r="M94" s="332">
        <f t="shared" si="26"/>
        <v>6522229.5544266347</v>
      </c>
      <c r="N94" s="332">
        <f t="shared" si="21"/>
        <v>441410961.24691647</v>
      </c>
      <c r="O94" s="516">
        <v>5659596.4633439835</v>
      </c>
      <c r="P94" s="327">
        <f t="shared" si="22"/>
        <v>5753545.764635494</v>
      </c>
      <c r="Q94" s="352"/>
      <c r="R94" s="330"/>
      <c r="S94" s="352"/>
      <c r="T94" s="352"/>
      <c r="U94" s="330"/>
      <c r="V94" s="331"/>
      <c r="W94" s="352"/>
      <c r="X94" s="330"/>
      <c r="Y94" s="331"/>
    </row>
    <row r="95" spans="1:25" x14ac:dyDescent="0.2">
      <c r="A95" s="321">
        <f t="shared" si="10"/>
        <v>69</v>
      </c>
      <c r="C95" s="130" t="str">
        <f t="shared" si="17"/>
        <v>August</v>
      </c>
      <c r="D95" s="262">
        <v>2014</v>
      </c>
      <c r="E95" s="358">
        <v>5190154.6149410605</v>
      </c>
      <c r="F95" s="358">
        <v>15424.499999999998</v>
      </c>
      <c r="G95" s="328">
        <f t="shared" si="18"/>
        <v>388104.75862057955</v>
      </c>
      <c r="H95" s="326">
        <f t="shared" si="19"/>
        <v>445026.78988493123</v>
      </c>
      <c r="I95" s="328">
        <f t="shared" si="23"/>
        <v>5117808.0836767089</v>
      </c>
      <c r="J95" s="328">
        <f t="shared" si="20"/>
        <v>153534.24251030126</v>
      </c>
      <c r="K95" s="332">
        <f t="shared" si="25"/>
        <v>453219957.6275301</v>
      </c>
      <c r="L95" s="332">
        <f t="shared" si="24"/>
        <v>936331.90675940376</v>
      </c>
      <c r="M95" s="332">
        <f t="shared" si="26"/>
        <v>7458561.4611860383</v>
      </c>
      <c r="N95" s="332">
        <f t="shared" si="21"/>
        <v>445761396.16634405</v>
      </c>
      <c r="O95" s="516">
        <v>5659596.4633439835</v>
      </c>
      <c r="P95" s="327">
        <f t="shared" si="22"/>
        <v>5753545.764635494</v>
      </c>
      <c r="Q95" s="352"/>
      <c r="R95" s="330"/>
      <c r="S95" s="352"/>
      <c r="T95" s="352"/>
      <c r="U95" s="330"/>
      <c r="V95" s="331"/>
      <c r="W95" s="352"/>
      <c r="X95" s="330"/>
      <c r="Y95" s="331"/>
    </row>
    <row r="96" spans="1:25" x14ac:dyDescent="0.2">
      <c r="A96" s="321">
        <f t="shared" si="10"/>
        <v>70</v>
      </c>
      <c r="C96" s="130" t="str">
        <f t="shared" si="17"/>
        <v>September</v>
      </c>
      <c r="D96" s="262">
        <v>2014</v>
      </c>
      <c r="E96" s="358">
        <v>4374730.1149410605</v>
      </c>
      <c r="F96" s="358">
        <v>0</v>
      </c>
      <c r="G96" s="328">
        <f t="shared" si="18"/>
        <v>328104.75862057955</v>
      </c>
      <c r="H96" s="326">
        <f t="shared" si="19"/>
        <v>376226.78988493123</v>
      </c>
      <c r="I96" s="328">
        <f t="shared" si="23"/>
        <v>4326608.0836767089</v>
      </c>
      <c r="J96" s="328">
        <f t="shared" si="20"/>
        <v>129798.24251030126</v>
      </c>
      <c r="K96" s="332">
        <f t="shared" si="25"/>
        <v>457676363.95371711</v>
      </c>
      <c r="L96" s="332">
        <f t="shared" si="24"/>
        <v>947383.03796515416</v>
      </c>
      <c r="M96" s="332">
        <f t="shared" si="26"/>
        <v>8405944.4991511926</v>
      </c>
      <c r="N96" s="332">
        <f t="shared" si="21"/>
        <v>449270419.45456594</v>
      </c>
      <c r="O96" s="516">
        <v>5659596.4633439835</v>
      </c>
      <c r="P96" s="327">
        <f t="shared" si="22"/>
        <v>5753545.764635494</v>
      </c>
      <c r="Q96" s="352"/>
      <c r="R96" s="330"/>
      <c r="S96" s="352"/>
      <c r="T96" s="352"/>
      <c r="U96" s="330"/>
      <c r="V96" s="331"/>
      <c r="W96" s="352"/>
      <c r="X96" s="330"/>
      <c r="Y96" s="331"/>
    </row>
    <row r="97" spans="1:25" x14ac:dyDescent="0.2">
      <c r="A97" s="322">
        <f t="shared" si="10"/>
        <v>71</v>
      </c>
      <c r="C97" s="130" t="str">
        <f t="shared" si="17"/>
        <v>October</v>
      </c>
      <c r="D97" s="262">
        <v>2014</v>
      </c>
      <c r="E97" s="358">
        <v>4374730.1149410605</v>
      </c>
      <c r="F97" s="358">
        <v>0</v>
      </c>
      <c r="G97" s="328">
        <f t="shared" si="18"/>
        <v>328104.75862057955</v>
      </c>
      <c r="H97" s="326">
        <f t="shared" si="19"/>
        <v>376226.78988493123</v>
      </c>
      <c r="I97" s="328">
        <f t="shared" si="23"/>
        <v>4326608.0836767089</v>
      </c>
      <c r="J97" s="328">
        <f t="shared" si="20"/>
        <v>129798.24251030126</v>
      </c>
      <c r="K97" s="332">
        <f t="shared" si="25"/>
        <v>462132770.27990413</v>
      </c>
      <c r="L97" s="332">
        <f t="shared" si="24"/>
        <v>956698.43481089466</v>
      </c>
      <c r="M97" s="332">
        <f t="shared" si="26"/>
        <v>9362642.9339620881</v>
      </c>
      <c r="N97" s="332">
        <f t="shared" si="21"/>
        <v>452770127.34594202</v>
      </c>
      <c r="O97" s="516">
        <v>5659596.4633439835</v>
      </c>
      <c r="P97" s="327">
        <f t="shared" si="22"/>
        <v>5753545.764635494</v>
      </c>
      <c r="Q97" s="352"/>
      <c r="R97" s="330"/>
      <c r="S97" s="352"/>
      <c r="T97" s="352"/>
      <c r="U97" s="330"/>
      <c r="V97" s="331"/>
      <c r="W97" s="352"/>
      <c r="X97" s="330"/>
      <c r="Y97" s="331"/>
    </row>
    <row r="98" spans="1:25" x14ac:dyDescent="0.2">
      <c r="A98" s="322">
        <f t="shared" si="10"/>
        <v>72</v>
      </c>
      <c r="C98" s="130" t="str">
        <f t="shared" si="17"/>
        <v>November</v>
      </c>
      <c r="D98" s="262">
        <v>2014</v>
      </c>
      <c r="E98" s="358">
        <v>4374730.1149411201</v>
      </c>
      <c r="F98" s="358">
        <v>0</v>
      </c>
      <c r="G98" s="328">
        <f t="shared" si="18"/>
        <v>328104.75862058398</v>
      </c>
      <c r="H98" s="326">
        <f t="shared" si="19"/>
        <v>376226.78988493636</v>
      </c>
      <c r="I98" s="328">
        <f t="shared" si="23"/>
        <v>4326608.0836767685</v>
      </c>
      <c r="J98" s="328">
        <f t="shared" si="20"/>
        <v>129798.24251030305</v>
      </c>
      <c r="K98" s="332">
        <f t="shared" si="25"/>
        <v>466589176.6060912</v>
      </c>
      <c r="L98" s="332">
        <f t="shared" si="24"/>
        <v>966013.83165663539</v>
      </c>
      <c r="M98" s="332">
        <f t="shared" si="26"/>
        <v>10328656.765618723</v>
      </c>
      <c r="N98" s="332">
        <f t="shared" si="21"/>
        <v>456260519.84047246</v>
      </c>
      <c r="O98" s="516">
        <v>5659596.4633439835</v>
      </c>
      <c r="P98" s="327">
        <f t="shared" si="22"/>
        <v>5753545.764635494</v>
      </c>
      <c r="Q98" s="352"/>
      <c r="R98" s="330"/>
      <c r="S98" s="352"/>
      <c r="T98" s="352"/>
      <c r="U98" s="330"/>
      <c r="V98" s="331"/>
      <c r="W98" s="352"/>
      <c r="X98" s="330"/>
      <c r="Y98" s="331"/>
    </row>
    <row r="99" spans="1:25" x14ac:dyDescent="0.2">
      <c r="A99" s="322">
        <f t="shared" si="10"/>
        <v>73</v>
      </c>
      <c r="C99" s="130" t="str">
        <f t="shared" si="17"/>
        <v>December</v>
      </c>
      <c r="D99" s="262">
        <v>2014</v>
      </c>
      <c r="E99" s="358">
        <v>4374730.1149410605</v>
      </c>
      <c r="F99" s="358">
        <v>0</v>
      </c>
      <c r="G99" s="328">
        <f t="shared" si="18"/>
        <v>328104.75862057955</v>
      </c>
      <c r="H99" s="326">
        <f t="shared" si="19"/>
        <v>376226.78988493123</v>
      </c>
      <c r="I99" s="328">
        <f t="shared" si="23"/>
        <v>4326608.0836767089</v>
      </c>
      <c r="J99" s="328">
        <f t="shared" si="20"/>
        <v>129798.24251030126</v>
      </c>
      <c r="K99" s="332">
        <f t="shared" si="25"/>
        <v>471045582.93227822</v>
      </c>
      <c r="L99" s="332">
        <f t="shared" si="24"/>
        <v>975329.22850237612</v>
      </c>
      <c r="M99" s="332">
        <f t="shared" si="26"/>
        <v>11303985.994121099</v>
      </c>
      <c r="N99" s="332">
        <f t="shared" si="21"/>
        <v>459741596.93815714</v>
      </c>
      <c r="O99" s="516">
        <v>5659596.4633439835</v>
      </c>
      <c r="P99" s="327">
        <f t="shared" si="22"/>
        <v>5753545.764635494</v>
      </c>
      <c r="Q99" s="352"/>
      <c r="R99" s="330"/>
      <c r="S99" s="352"/>
      <c r="T99" s="352"/>
      <c r="U99" s="330"/>
      <c r="V99" s="331"/>
      <c r="W99" s="352"/>
      <c r="X99" s="330"/>
      <c r="Y99" s="331"/>
    </row>
    <row r="100" spans="1:25" x14ac:dyDescent="0.2">
      <c r="A100" s="321"/>
      <c r="O100" s="330"/>
    </row>
    <row r="101" spans="1:25" x14ac:dyDescent="0.2">
      <c r="A101" s="321"/>
      <c r="B101" s="145" t="s">
        <v>449</v>
      </c>
      <c r="G101" s="146"/>
    </row>
    <row r="102" spans="1:25" x14ac:dyDescent="0.2">
      <c r="A102" s="323" t="s">
        <v>170</v>
      </c>
      <c r="B102" s="146"/>
      <c r="F102" s="359"/>
    </row>
    <row r="103" spans="1:25" x14ac:dyDescent="0.2">
      <c r="A103" s="321">
        <f>A99+1</f>
        <v>74</v>
      </c>
      <c r="C103" s="360" t="s">
        <v>450</v>
      </c>
      <c r="E103" s="347">
        <v>7.4999999999999997E-2</v>
      </c>
    </row>
    <row r="105" spans="1:25" x14ac:dyDescent="0.2">
      <c r="A105" s="321"/>
      <c r="B105" s="145" t="s">
        <v>451</v>
      </c>
    </row>
    <row r="106" spans="1:25" x14ac:dyDescent="0.2">
      <c r="A106" s="323" t="s">
        <v>170</v>
      </c>
      <c r="F106" s="359"/>
    </row>
    <row r="107" spans="1:25" x14ac:dyDescent="0.2">
      <c r="A107" s="321">
        <f>A103+1</f>
        <v>75</v>
      </c>
      <c r="B107" s="145"/>
      <c r="C107" s="361" t="s">
        <v>452</v>
      </c>
      <c r="E107" s="347">
        <v>0.08</v>
      </c>
    </row>
    <row r="108" spans="1:25" x14ac:dyDescent="0.2">
      <c r="A108" s="321"/>
      <c r="B108" s="146"/>
      <c r="C108" s="361"/>
    </row>
    <row r="109" spans="1:25" x14ac:dyDescent="0.2">
      <c r="B109" s="145" t="s">
        <v>453</v>
      </c>
    </row>
    <row r="110" spans="1:25" x14ac:dyDescent="0.2">
      <c r="A110" s="323" t="s">
        <v>170</v>
      </c>
      <c r="B110" s="146"/>
      <c r="F110" s="359"/>
    </row>
    <row r="111" spans="1:25" x14ac:dyDescent="0.2">
      <c r="A111" s="321">
        <f>A107+1</f>
        <v>76</v>
      </c>
      <c r="C111" s="361" t="s">
        <v>454</v>
      </c>
      <c r="E111" s="347">
        <v>0.03</v>
      </c>
    </row>
    <row r="113" spans="1:9" x14ac:dyDescent="0.2">
      <c r="B113" s="145" t="s">
        <v>455</v>
      </c>
    </row>
    <row r="114" spans="1:9" s="318" customFormat="1" x14ac:dyDescent="0.2">
      <c r="C114" s="362" t="s">
        <v>456</v>
      </c>
      <c r="F114" s="363"/>
    </row>
    <row r="115" spans="1:9" s="321" customFormat="1" x14ac:dyDescent="0.2">
      <c r="B115" s="318" t="s">
        <v>167</v>
      </c>
      <c r="C115" s="318" t="s">
        <v>168</v>
      </c>
      <c r="D115" s="318" t="s">
        <v>184</v>
      </c>
      <c r="E115" s="318" t="s">
        <v>185</v>
      </c>
      <c r="F115" s="318"/>
    </row>
    <row r="116" spans="1:9" s="318" customFormat="1" x14ac:dyDescent="0.2">
      <c r="C116" s="321" t="s">
        <v>9</v>
      </c>
      <c r="D116" s="324"/>
      <c r="E116" s="364" t="s">
        <v>457</v>
      </c>
      <c r="F116" s="324"/>
    </row>
    <row r="117" spans="1:9" x14ac:dyDescent="0.2">
      <c r="A117" s="321"/>
      <c r="B117" s="321"/>
      <c r="C117" s="321" t="str">
        <f>"Prior Year"</f>
        <v>Prior Year</v>
      </c>
      <c r="D117" s="322" t="s">
        <v>434</v>
      </c>
      <c r="E117" s="322" t="s">
        <v>458</v>
      </c>
      <c r="F117" s="322" t="s">
        <v>459</v>
      </c>
    </row>
    <row r="118" spans="1:9" x14ac:dyDescent="0.2">
      <c r="A118" s="318" t="s">
        <v>170</v>
      </c>
      <c r="B118" s="318" t="s">
        <v>460</v>
      </c>
      <c r="C118" s="318" t="s">
        <v>461</v>
      </c>
      <c r="D118" s="324" t="s">
        <v>0</v>
      </c>
      <c r="E118" s="324" t="s">
        <v>434</v>
      </c>
      <c r="F118" s="520" t="s">
        <v>462</v>
      </c>
    </row>
    <row r="119" spans="1:9" x14ac:dyDescent="0.2">
      <c r="A119" s="321">
        <f>A111+1</f>
        <v>77</v>
      </c>
      <c r="B119" s="321">
        <v>350.1</v>
      </c>
      <c r="C119" s="365">
        <v>77316396.51413767</v>
      </c>
      <c r="D119" s="366">
        <v>0</v>
      </c>
      <c r="E119" s="367">
        <f>C119*D119</f>
        <v>0</v>
      </c>
      <c r="F119" s="368" t="s">
        <v>463</v>
      </c>
      <c r="H119" s="365"/>
      <c r="I119" s="357"/>
    </row>
    <row r="120" spans="1:9" x14ac:dyDescent="0.2">
      <c r="A120" s="321">
        <f>A119+1</f>
        <v>78</v>
      </c>
      <c r="B120" s="321">
        <v>350.2</v>
      </c>
      <c r="C120" s="365">
        <v>108586633.1352807</v>
      </c>
      <c r="D120" s="366">
        <v>1.66E-2</v>
      </c>
      <c r="E120" s="367">
        <f t="shared" ref="E120:E128" si="27">C120*D120</f>
        <v>1802538.1100456596</v>
      </c>
      <c r="F120" s="368" t="s">
        <v>464</v>
      </c>
      <c r="H120" s="365"/>
      <c r="I120" s="357"/>
    </row>
    <row r="121" spans="1:9" x14ac:dyDescent="0.2">
      <c r="A121" s="321">
        <f t="shared" ref="A121:A133" si="28">A120+1</f>
        <v>79</v>
      </c>
      <c r="B121" s="321">
        <v>352</v>
      </c>
      <c r="C121" s="365">
        <v>207656916</v>
      </c>
      <c r="D121" s="366">
        <v>2.5700000000000001E-2</v>
      </c>
      <c r="E121" s="367">
        <f t="shared" si="27"/>
        <v>5336782.7412</v>
      </c>
      <c r="F121" s="368" t="s">
        <v>465</v>
      </c>
      <c r="H121" s="365"/>
      <c r="I121" s="357"/>
    </row>
    <row r="122" spans="1:9" x14ac:dyDescent="0.2">
      <c r="A122" s="321">
        <f t="shared" si="28"/>
        <v>80</v>
      </c>
      <c r="B122" s="321">
        <v>353</v>
      </c>
      <c r="C122" s="365">
        <v>2231719300</v>
      </c>
      <c r="D122" s="366">
        <v>2.47E-2</v>
      </c>
      <c r="E122" s="367">
        <f t="shared" si="27"/>
        <v>55123466.710000001</v>
      </c>
      <c r="F122" s="368" t="s">
        <v>466</v>
      </c>
      <c r="H122" s="365"/>
      <c r="I122" s="357"/>
    </row>
    <row r="123" spans="1:9" x14ac:dyDescent="0.2">
      <c r="A123" s="321">
        <f t="shared" si="28"/>
        <v>81</v>
      </c>
      <c r="B123" s="321">
        <v>354</v>
      </c>
      <c r="C123" s="365">
        <v>728242650.16347945</v>
      </c>
      <c r="D123" s="366">
        <v>2.4400000000000002E-2</v>
      </c>
      <c r="E123" s="367">
        <f t="shared" si="27"/>
        <v>17769120.663988899</v>
      </c>
      <c r="F123" s="368" t="s">
        <v>467</v>
      </c>
      <c r="H123" s="365"/>
      <c r="I123" s="357"/>
    </row>
    <row r="124" spans="1:9" x14ac:dyDescent="0.2">
      <c r="A124" s="321">
        <f t="shared" si="28"/>
        <v>82</v>
      </c>
      <c r="B124" s="321">
        <v>355</v>
      </c>
      <c r="C124" s="365">
        <v>148632888.4820841</v>
      </c>
      <c r="D124" s="366">
        <v>3.6700000000000003E-2</v>
      </c>
      <c r="E124" s="367">
        <f t="shared" si="27"/>
        <v>5454827.0072924867</v>
      </c>
      <c r="F124" s="368" t="s">
        <v>468</v>
      </c>
      <c r="H124" s="365"/>
      <c r="I124" s="357"/>
    </row>
    <row r="125" spans="1:9" x14ac:dyDescent="0.2">
      <c r="A125" s="321">
        <f t="shared" si="28"/>
        <v>83</v>
      </c>
      <c r="B125" s="321">
        <v>356</v>
      </c>
      <c r="C125" s="365">
        <v>494953932.48711836</v>
      </c>
      <c r="D125" s="366">
        <v>3.0499999999999999E-2</v>
      </c>
      <c r="E125" s="367">
        <f t="shared" si="27"/>
        <v>15096094.940857111</v>
      </c>
      <c r="F125" s="368" t="s">
        <v>469</v>
      </c>
      <c r="H125" s="365"/>
      <c r="I125" s="357"/>
    </row>
    <row r="126" spans="1:9" x14ac:dyDescent="0.2">
      <c r="A126" s="321">
        <f t="shared" si="28"/>
        <v>84</v>
      </c>
      <c r="B126" s="321">
        <v>357</v>
      </c>
      <c r="C126" s="365">
        <v>645861.64518965012</v>
      </c>
      <c r="D126" s="366">
        <v>1.6500000000000001E-2</v>
      </c>
      <c r="E126" s="367">
        <f t="shared" si="27"/>
        <v>10656.717145629227</v>
      </c>
      <c r="F126" s="368" t="s">
        <v>470</v>
      </c>
      <c r="H126" s="365"/>
      <c r="I126" s="357"/>
    </row>
    <row r="127" spans="1:9" x14ac:dyDescent="0.2">
      <c r="A127" s="321">
        <f t="shared" si="28"/>
        <v>85</v>
      </c>
      <c r="B127" s="321">
        <v>358</v>
      </c>
      <c r="C127" s="365">
        <v>3959306.6940610548</v>
      </c>
      <c r="D127" s="366">
        <v>3.8699999999999998E-2</v>
      </c>
      <c r="E127" s="367">
        <f t="shared" si="27"/>
        <v>153225.16906016282</v>
      </c>
      <c r="F127" s="368" t="s">
        <v>471</v>
      </c>
      <c r="H127" s="365"/>
      <c r="I127" s="357"/>
    </row>
    <row r="128" spans="1:9" x14ac:dyDescent="0.2">
      <c r="A128" s="321">
        <f t="shared" si="28"/>
        <v>86</v>
      </c>
      <c r="B128" s="321">
        <v>359</v>
      </c>
      <c r="C128" s="365">
        <v>38747355.238424651</v>
      </c>
      <c r="D128" s="366">
        <v>1.5599999999999999E-2</v>
      </c>
      <c r="E128" s="367">
        <f t="shared" si="27"/>
        <v>604458.74171942449</v>
      </c>
      <c r="F128" s="368" t="s">
        <v>472</v>
      </c>
      <c r="H128" s="365"/>
      <c r="I128" s="357"/>
    </row>
    <row r="129" spans="1:9" x14ac:dyDescent="0.2">
      <c r="A129" s="321">
        <f t="shared" si="28"/>
        <v>87</v>
      </c>
    </row>
    <row r="130" spans="1:9" x14ac:dyDescent="0.2">
      <c r="A130" s="321">
        <f t="shared" si="28"/>
        <v>88</v>
      </c>
      <c r="C130" s="369" t="s">
        <v>473</v>
      </c>
      <c r="E130" s="370">
        <f>SUM(E119:E128)</f>
        <v>101351170.80130936</v>
      </c>
      <c r="F130" s="315" t="str">
        <f>"Sum of C"&amp;RIGHT(E115)&amp;" Lines "&amp;A119&amp;" to "&amp;A128</f>
        <v>Sum of C4 Lines 77 to 86</v>
      </c>
    </row>
    <row r="131" spans="1:9" x14ac:dyDescent="0.2">
      <c r="A131" s="321">
        <f t="shared" si="28"/>
        <v>89</v>
      </c>
      <c r="C131" s="315" t="str">
        <f>"Sum of Dec Prior Year Plant"</f>
        <v>Sum of Dec Prior Year Plant</v>
      </c>
      <c r="E131" s="371">
        <f>SUM(C119:C128)</f>
        <v>4040461240.359776</v>
      </c>
      <c r="F131" s="315" t="str">
        <f>"Sum of C"&amp;RIGHT(C115)&amp;" Lines "&amp;A119&amp;" to "&amp;A128</f>
        <v>Sum of C2 Lines 77 to 86</v>
      </c>
    </row>
    <row r="132" spans="1:9" x14ac:dyDescent="0.2">
      <c r="A132" s="321">
        <f t="shared" si="28"/>
        <v>90</v>
      </c>
    </row>
    <row r="133" spans="1:9" x14ac:dyDescent="0.2">
      <c r="A133" s="321">
        <f t="shared" si="28"/>
        <v>91</v>
      </c>
      <c r="C133" s="315" t="s">
        <v>474</v>
      </c>
      <c r="E133" s="372">
        <f>E130/E131</f>
        <v>2.5084059658566287E-2</v>
      </c>
      <c r="F133" s="315" t="str">
        <f>"Line "&amp;A130&amp;" / Line "&amp;A131</f>
        <v>Line 88 / Line 89</v>
      </c>
    </row>
    <row r="134" spans="1:9" x14ac:dyDescent="0.2">
      <c r="A134" s="321"/>
    </row>
    <row r="135" spans="1:9" x14ac:dyDescent="0.2">
      <c r="A135" s="321"/>
      <c r="B135" s="74" t="s">
        <v>342</v>
      </c>
      <c r="C135" s="521"/>
      <c r="D135" s="521"/>
      <c r="E135" s="521"/>
      <c r="F135" s="521"/>
      <c r="G135" s="521"/>
      <c r="H135" s="521"/>
      <c r="I135" s="521"/>
    </row>
    <row r="136" spans="1:9" x14ac:dyDescent="0.2">
      <c r="A136" s="321"/>
      <c r="B136" s="118" t="s">
        <v>341</v>
      </c>
      <c r="C136" s="522"/>
      <c r="D136" s="522"/>
      <c r="E136" s="522"/>
      <c r="F136" s="522"/>
      <c r="G136" s="522"/>
      <c r="H136" s="522"/>
      <c r="I136" s="522"/>
    </row>
    <row r="137" spans="1:9" x14ac:dyDescent="0.2">
      <c r="A137" s="321"/>
      <c r="B137" s="118" t="s">
        <v>475</v>
      </c>
      <c r="C137" s="521"/>
      <c r="D137" s="521"/>
      <c r="E137" s="521"/>
      <c r="F137" s="521"/>
      <c r="G137" s="521"/>
      <c r="H137" s="521"/>
      <c r="I137" s="521"/>
    </row>
    <row r="138" spans="1:9" x14ac:dyDescent="0.2">
      <c r="A138" s="321"/>
    </row>
    <row r="139" spans="1:9" x14ac:dyDescent="0.2">
      <c r="A139" s="321"/>
    </row>
    <row r="140" spans="1:9" x14ac:dyDescent="0.2">
      <c r="A140" s="321"/>
    </row>
    <row r="141" spans="1:9" x14ac:dyDescent="0.2">
      <c r="A141" s="321"/>
    </row>
    <row r="142" spans="1:9" x14ac:dyDescent="0.2">
      <c r="A142" s="321"/>
    </row>
    <row r="143" spans="1:9" x14ac:dyDescent="0.2">
      <c r="A143" s="321"/>
    </row>
    <row r="144" spans="1:9" x14ac:dyDescent="0.2">
      <c r="A144" s="321"/>
    </row>
    <row r="145" spans="1:1" x14ac:dyDescent="0.2">
      <c r="A145" s="321"/>
    </row>
    <row r="146" spans="1:1" x14ac:dyDescent="0.2">
      <c r="A146" s="321"/>
    </row>
    <row r="147" spans="1:1" x14ac:dyDescent="0.2">
      <c r="A147" s="321"/>
    </row>
    <row r="148" spans="1:1" x14ac:dyDescent="0.2">
      <c r="A148" s="321"/>
    </row>
    <row r="149" spans="1:1" x14ac:dyDescent="0.2">
      <c r="A149" s="321"/>
    </row>
    <row r="150" spans="1:1" x14ac:dyDescent="0.2">
      <c r="A150" s="321"/>
    </row>
    <row r="151" spans="1:1" x14ac:dyDescent="0.2">
      <c r="A151" s="321"/>
    </row>
    <row r="152" spans="1:1" x14ac:dyDescent="0.2">
      <c r="A152" s="321"/>
    </row>
    <row r="153" spans="1:1" x14ac:dyDescent="0.2">
      <c r="A153" s="321"/>
    </row>
    <row r="154" spans="1:1" x14ac:dyDescent="0.2">
      <c r="A154" s="321"/>
    </row>
    <row r="155" spans="1:1" x14ac:dyDescent="0.2">
      <c r="A155" s="321"/>
    </row>
    <row r="156" spans="1:1" x14ac:dyDescent="0.2">
      <c r="A156" s="321"/>
    </row>
    <row r="157" spans="1:1" x14ac:dyDescent="0.2">
      <c r="A157" s="321"/>
    </row>
    <row r="158" spans="1:1" x14ac:dyDescent="0.2">
      <c r="A158" s="321"/>
    </row>
    <row r="159" spans="1:1" x14ac:dyDescent="0.2">
      <c r="A159" s="321"/>
    </row>
    <row r="160" spans="1:1" x14ac:dyDescent="0.2">
      <c r="A160" s="321"/>
    </row>
    <row r="161" spans="1:1" x14ac:dyDescent="0.2">
      <c r="A161" s="321"/>
    </row>
    <row r="162" spans="1:1" x14ac:dyDescent="0.2">
      <c r="A162" s="321"/>
    </row>
    <row r="163" spans="1:1" x14ac:dyDescent="0.2">
      <c r="A163" s="321"/>
    </row>
    <row r="164" spans="1:1" x14ac:dyDescent="0.2">
      <c r="A164" s="321"/>
    </row>
    <row r="165" spans="1:1" x14ac:dyDescent="0.2">
      <c r="A165" s="321"/>
    </row>
    <row r="166" spans="1:1" x14ac:dyDescent="0.2">
      <c r="A166" s="321"/>
    </row>
    <row r="167" spans="1:1" x14ac:dyDescent="0.2">
      <c r="A167" s="321"/>
    </row>
    <row r="168" spans="1:1" x14ac:dyDescent="0.2">
      <c r="A168" s="321"/>
    </row>
    <row r="169" spans="1:1" x14ac:dyDescent="0.2">
      <c r="A169" s="321"/>
    </row>
    <row r="170" spans="1:1" x14ac:dyDescent="0.2">
      <c r="A170" s="321"/>
    </row>
    <row r="171" spans="1:1" x14ac:dyDescent="0.2">
      <c r="A171" s="321"/>
    </row>
    <row r="172" spans="1:1" x14ac:dyDescent="0.2">
      <c r="A172" s="321"/>
    </row>
    <row r="173" spans="1:1" x14ac:dyDescent="0.2">
      <c r="A173" s="321"/>
    </row>
    <row r="174" spans="1:1" x14ac:dyDescent="0.2">
      <c r="A174" s="321"/>
    </row>
    <row r="175" spans="1:1" x14ac:dyDescent="0.2">
      <c r="A175" s="321"/>
    </row>
    <row r="176" spans="1:1" x14ac:dyDescent="0.2">
      <c r="A176" s="321"/>
    </row>
    <row r="177" spans="1:1" x14ac:dyDescent="0.2">
      <c r="A177" s="321"/>
    </row>
    <row r="178" spans="1:1" x14ac:dyDescent="0.2">
      <c r="A178" s="321"/>
    </row>
    <row r="179" spans="1:1" x14ac:dyDescent="0.2">
      <c r="A179" s="321"/>
    </row>
    <row r="180" spans="1:1" x14ac:dyDescent="0.2">
      <c r="A180" s="321"/>
    </row>
    <row r="181" spans="1:1" x14ac:dyDescent="0.2">
      <c r="A181" s="321"/>
    </row>
    <row r="182" spans="1:1" x14ac:dyDescent="0.2">
      <c r="A182" s="321"/>
    </row>
    <row r="183" spans="1:1" x14ac:dyDescent="0.2">
      <c r="A183" s="321"/>
    </row>
    <row r="184" spans="1:1" x14ac:dyDescent="0.2">
      <c r="A184" s="321"/>
    </row>
    <row r="185" spans="1:1" x14ac:dyDescent="0.2">
      <c r="A185" s="321"/>
    </row>
    <row r="186" spans="1:1" x14ac:dyDescent="0.2">
      <c r="A186" s="321"/>
    </row>
    <row r="187" spans="1:1" x14ac:dyDescent="0.2">
      <c r="A187" s="321"/>
    </row>
    <row r="188" spans="1:1" x14ac:dyDescent="0.2">
      <c r="A188" s="321"/>
    </row>
    <row r="189" spans="1:1" x14ac:dyDescent="0.2">
      <c r="A189" s="321"/>
    </row>
    <row r="190" spans="1:1" x14ac:dyDescent="0.2">
      <c r="A190" s="321"/>
    </row>
    <row r="191" spans="1:1" x14ac:dyDescent="0.2">
      <c r="A191" s="321"/>
    </row>
    <row r="192" spans="1:1" x14ac:dyDescent="0.2">
      <c r="A192" s="321"/>
    </row>
    <row r="193" spans="1:1" x14ac:dyDescent="0.2">
      <c r="A193" s="321"/>
    </row>
    <row r="194" spans="1:1" x14ac:dyDescent="0.2">
      <c r="A194" s="321"/>
    </row>
    <row r="195" spans="1:1" x14ac:dyDescent="0.2">
      <c r="A195" s="321"/>
    </row>
    <row r="196" spans="1:1" x14ac:dyDescent="0.2">
      <c r="A196" s="321"/>
    </row>
    <row r="197" spans="1:1" x14ac:dyDescent="0.2">
      <c r="A197" s="321"/>
    </row>
    <row r="198" spans="1:1" x14ac:dyDescent="0.2">
      <c r="A198" s="321"/>
    </row>
    <row r="199" spans="1:1" x14ac:dyDescent="0.2">
      <c r="A199" s="321"/>
    </row>
    <row r="200" spans="1:1" x14ac:dyDescent="0.2">
      <c r="A200" s="321"/>
    </row>
    <row r="201" spans="1:1" x14ac:dyDescent="0.2">
      <c r="A201" s="321"/>
    </row>
    <row r="202" spans="1:1" x14ac:dyDescent="0.2">
      <c r="A202" s="321"/>
    </row>
    <row r="203" spans="1:1" x14ac:dyDescent="0.2">
      <c r="A203" s="321"/>
    </row>
    <row r="204" spans="1:1" x14ac:dyDescent="0.2">
      <c r="A204" s="321"/>
    </row>
  </sheetData>
  <pageMargins left="0.7" right="0.7" top="0.75" bottom="0.75" header="0.3" footer="0.3"/>
  <pageSetup scale="55" orientation="landscape" cellComments="asDisplayed" r:id="rId1"/>
  <headerFooter>
    <oddHeader>&amp;CSchedule 16
Plant Additions
(Revised 2012 True Up TRR)
&amp;RTO10 Draft Annual Update
Attachment 4
WP-Schedule 3-One Time Adj &amp; True Up Adj
Page &amp;P of &amp;N</oddHeader>
    <oddFooter>&amp;R16-PlantAdditions</oddFooter>
  </headerFooter>
  <rowBreaks count="1" manualBreakCount="1">
    <brk id="6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3:I14"/>
  <sheetViews>
    <sheetView zoomScaleNormal="100" workbookViewId="0"/>
  </sheetViews>
  <sheetFormatPr defaultRowHeight="15" x14ac:dyDescent="0.25"/>
  <cols>
    <col min="1" max="2" width="9.140625" style="1"/>
    <col min="3" max="3" width="12" style="1" customWidth="1"/>
    <col min="4" max="4" width="17.7109375" style="1" customWidth="1"/>
    <col min="5" max="6" width="9.140625" style="1"/>
    <col min="7" max="7" width="14.85546875" style="1" customWidth="1"/>
    <col min="8" max="16384" width="9.140625" style="1"/>
  </cols>
  <sheetData>
    <row r="3" spans="1:9" x14ac:dyDescent="0.25">
      <c r="A3" s="532" t="s">
        <v>41</v>
      </c>
      <c r="B3" s="532"/>
      <c r="C3" s="532"/>
      <c r="D3" s="532"/>
      <c r="E3" s="532"/>
      <c r="F3" s="532"/>
      <c r="G3" s="532"/>
    </row>
    <row r="4" spans="1:9" x14ac:dyDescent="0.25">
      <c r="A4" s="532"/>
      <c r="B4" s="532"/>
      <c r="C4" s="532"/>
      <c r="D4" s="532"/>
      <c r="E4" s="532"/>
      <c r="F4" s="532"/>
      <c r="G4" s="532"/>
    </row>
    <row r="5" spans="1:9" x14ac:dyDescent="0.25">
      <c r="A5" s="533" t="s">
        <v>6</v>
      </c>
      <c r="B5" s="533"/>
      <c r="C5" s="533"/>
      <c r="D5" s="2" t="s">
        <v>7</v>
      </c>
      <c r="E5" s="534" t="s">
        <v>8</v>
      </c>
      <c r="F5" s="534"/>
      <c r="G5" s="534"/>
      <c r="H5" s="3"/>
      <c r="I5" s="3"/>
    </row>
    <row r="6" spans="1:9" ht="29.25" customHeight="1" x14ac:dyDescent="0.25">
      <c r="A6" s="543" t="s">
        <v>43</v>
      </c>
      <c r="B6" s="544"/>
      <c r="C6" s="545"/>
      <c r="D6" s="4">
        <f>'WP-2013 Sch 4-TUTRR'!J71</f>
        <v>781976785</v>
      </c>
      <c r="E6" s="551" t="s">
        <v>44</v>
      </c>
      <c r="F6" s="552"/>
      <c r="G6" s="552"/>
    </row>
    <row r="7" spans="1:9" ht="57.75" customHeight="1" x14ac:dyDescent="0.25">
      <c r="A7" s="53" t="s">
        <v>42</v>
      </c>
      <c r="B7" s="5"/>
      <c r="C7" s="5"/>
      <c r="D7" s="6">
        <f>'WP-2013 Sch 4-TUTRR'!J70</f>
        <v>781990933.44205725</v>
      </c>
      <c r="E7" s="537" t="s">
        <v>785</v>
      </c>
      <c r="F7" s="538"/>
      <c r="G7" s="538"/>
    </row>
    <row r="8" spans="1:9" ht="23.25" customHeight="1" x14ac:dyDescent="0.25">
      <c r="A8" s="549" t="s">
        <v>34</v>
      </c>
      <c r="B8" s="549"/>
      <c r="C8" s="549"/>
      <c r="D8" s="7">
        <f>D7-D6</f>
        <v>14148.44205725193</v>
      </c>
      <c r="E8" s="550"/>
      <c r="F8" s="544"/>
      <c r="G8" s="545"/>
    </row>
    <row r="11" spans="1:9" x14ac:dyDescent="0.25">
      <c r="A11" s="1" t="s">
        <v>35</v>
      </c>
    </row>
    <row r="12" spans="1:9" ht="15" customHeight="1" x14ac:dyDescent="0.25">
      <c r="A12" s="530" t="s">
        <v>718</v>
      </c>
      <c r="B12" s="531"/>
      <c r="C12" s="531"/>
      <c r="D12" s="531"/>
      <c r="E12" s="531"/>
      <c r="F12" s="531"/>
      <c r="G12" s="531"/>
      <c r="H12" s="531"/>
      <c r="I12" s="531"/>
    </row>
    <row r="13" spans="1:9" ht="15" customHeight="1" x14ac:dyDescent="0.25">
      <c r="A13" s="530" t="s">
        <v>719</v>
      </c>
      <c r="B13" s="531"/>
      <c r="C13" s="531"/>
      <c r="D13" s="531"/>
      <c r="E13" s="531"/>
      <c r="F13" s="531"/>
      <c r="G13" s="531"/>
      <c r="H13" s="531"/>
      <c r="I13" s="531"/>
    </row>
    <row r="14" spans="1:9" x14ac:dyDescent="0.25">
      <c r="A14" s="507" t="s">
        <v>720</v>
      </c>
    </row>
  </sheetData>
  <mergeCells count="10">
    <mergeCell ref="A8:C8"/>
    <mergeCell ref="E8:G8"/>
    <mergeCell ref="A12:I12"/>
    <mergeCell ref="A13:I13"/>
    <mergeCell ref="A3:G4"/>
    <mergeCell ref="A5:C5"/>
    <mergeCell ref="E5:G5"/>
    <mergeCell ref="A6:C6"/>
    <mergeCell ref="E6:G6"/>
    <mergeCell ref="E7:G7"/>
  </mergeCells>
  <pageMargins left="0.7" right="0.7" top="0.75" bottom="0.75" header="0.3" footer="0.3"/>
  <pageSetup orientation="portrait" verticalDpi="1200" r:id="rId1"/>
  <headerFooter>
    <oddHeader>&amp;RTO10 Draft Annual Update
Attachment 4
WP-Schedule 3-One Time Adj &amp; True Up Adj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L172"/>
  <sheetViews>
    <sheetView zoomScaleNormal="10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56" t="s">
        <v>46</v>
      </c>
    </row>
    <row r="2" spans="1:10" x14ac:dyDescent="0.2">
      <c r="H2" s="57"/>
    </row>
    <row r="3" spans="1:10" x14ac:dyDescent="0.2">
      <c r="B3" s="58" t="s">
        <v>47</v>
      </c>
    </row>
    <row r="4" spans="1:10" x14ac:dyDescent="0.2">
      <c r="B4" s="59"/>
      <c r="F4" s="60" t="s">
        <v>48</v>
      </c>
      <c r="G4" s="60"/>
      <c r="H4" s="60" t="s">
        <v>49</v>
      </c>
    </row>
    <row r="5" spans="1:10" x14ac:dyDescent="0.2">
      <c r="A5" s="61" t="s">
        <v>50</v>
      </c>
      <c r="B5" s="62"/>
      <c r="C5" s="63" t="s">
        <v>51</v>
      </c>
      <c r="F5" s="64" t="s">
        <v>52</v>
      </c>
      <c r="G5" s="64" t="s">
        <v>53</v>
      </c>
      <c r="H5" s="64" t="s">
        <v>54</v>
      </c>
      <c r="J5" s="64" t="s">
        <v>7</v>
      </c>
    </row>
    <row r="6" spans="1:10" x14ac:dyDescent="0.2">
      <c r="A6" s="65">
        <v>1</v>
      </c>
      <c r="B6" s="57"/>
      <c r="C6" s="66" t="s">
        <v>55</v>
      </c>
      <c r="D6" s="57"/>
      <c r="E6" s="57"/>
      <c r="F6" s="57" t="s">
        <v>56</v>
      </c>
      <c r="G6" s="57"/>
      <c r="H6" s="66" t="s">
        <v>729</v>
      </c>
      <c r="I6" s="57"/>
      <c r="J6" s="275">
        <v>4903403328.7761135</v>
      </c>
    </row>
    <row r="7" spans="1:10" x14ac:dyDescent="0.2">
      <c r="A7" s="65">
        <f>A6+1</f>
        <v>2</v>
      </c>
      <c r="B7" s="57"/>
      <c r="C7" s="66" t="s">
        <v>57</v>
      </c>
      <c r="D7" s="57"/>
      <c r="E7" s="57"/>
      <c r="F7" s="57" t="s">
        <v>58</v>
      </c>
      <c r="G7" s="57"/>
      <c r="H7" s="66" t="s">
        <v>730</v>
      </c>
      <c r="I7" s="57"/>
      <c r="J7" s="88">
        <v>179436780.91569537</v>
      </c>
    </row>
    <row r="8" spans="1:10" x14ac:dyDescent="0.2">
      <c r="A8" s="65">
        <f>A7+1</f>
        <v>3</v>
      </c>
      <c r="B8" s="57"/>
      <c r="C8" s="66" t="s">
        <v>59</v>
      </c>
      <c r="D8" s="57"/>
      <c r="E8" s="57"/>
      <c r="F8" s="57" t="s">
        <v>58</v>
      </c>
      <c r="G8" s="57"/>
      <c r="H8" s="57" t="s">
        <v>731</v>
      </c>
      <c r="I8" s="57"/>
      <c r="J8" s="88">
        <v>9942155</v>
      </c>
    </row>
    <row r="9" spans="1:10" x14ac:dyDescent="0.2">
      <c r="A9" s="65">
        <f>A8+1</f>
        <v>4</v>
      </c>
      <c r="B9" s="57"/>
      <c r="C9" s="66" t="s">
        <v>60</v>
      </c>
      <c r="D9" s="57"/>
      <c r="E9" s="57"/>
      <c r="F9" s="57" t="s">
        <v>58</v>
      </c>
      <c r="G9" s="57"/>
      <c r="H9" s="68" t="s">
        <v>732</v>
      </c>
      <c r="I9" s="57"/>
      <c r="J9" s="88">
        <v>0</v>
      </c>
    </row>
    <row r="10" spans="1:10" x14ac:dyDescent="0.2">
      <c r="A10" s="65"/>
      <c r="B10" s="57"/>
      <c r="C10" s="66"/>
      <c r="D10" s="57"/>
      <c r="E10" s="57"/>
      <c r="F10" s="57"/>
      <c r="G10" s="57"/>
      <c r="H10" s="57"/>
      <c r="I10" s="57"/>
      <c r="J10" s="88"/>
    </row>
    <row r="11" spans="1:10" x14ac:dyDescent="0.2">
      <c r="A11" s="65"/>
      <c r="B11" s="57"/>
      <c r="C11" s="69" t="s">
        <v>61</v>
      </c>
      <c r="D11" s="57"/>
      <c r="E11" s="57"/>
      <c r="F11" s="57"/>
      <c r="G11" s="57"/>
      <c r="H11" s="57"/>
      <c r="I11" s="57"/>
      <c r="J11" s="88"/>
    </row>
    <row r="12" spans="1:10" x14ac:dyDescent="0.2">
      <c r="A12" s="65">
        <f>A9+1</f>
        <v>5</v>
      </c>
      <c r="B12" s="57"/>
      <c r="C12" s="70" t="s">
        <v>62</v>
      </c>
      <c r="D12" s="57"/>
      <c r="E12" s="57"/>
      <c r="F12" s="57" t="s">
        <v>56</v>
      </c>
      <c r="G12" s="57"/>
      <c r="H12" s="66" t="s">
        <v>733</v>
      </c>
      <c r="I12" s="57"/>
      <c r="J12" s="88">
        <v>12167228.980943657</v>
      </c>
    </row>
    <row r="13" spans="1:10" x14ac:dyDescent="0.2">
      <c r="A13" s="65">
        <f>A12+1</f>
        <v>6</v>
      </c>
      <c r="B13" s="57"/>
      <c r="C13" s="71" t="s">
        <v>63</v>
      </c>
      <c r="D13" s="57"/>
      <c r="E13" s="57"/>
      <c r="F13" s="57" t="s">
        <v>56</v>
      </c>
      <c r="G13" s="57"/>
      <c r="H13" s="66" t="s">
        <v>734</v>
      </c>
      <c r="I13" s="57"/>
      <c r="J13" s="88">
        <v>2638245.6145783952</v>
      </c>
    </row>
    <row r="14" spans="1:10" x14ac:dyDescent="0.2">
      <c r="A14" s="65">
        <f>A13+1</f>
        <v>7</v>
      </c>
      <c r="B14" s="57"/>
      <c r="C14" s="70" t="s">
        <v>64</v>
      </c>
      <c r="D14" s="57"/>
      <c r="E14" s="57"/>
      <c r="F14" s="68" t="s">
        <v>65</v>
      </c>
      <c r="G14" s="57"/>
      <c r="H14" s="57" t="s">
        <v>735</v>
      </c>
      <c r="I14" s="57"/>
      <c r="J14" s="260">
        <v>7214011.8163583288</v>
      </c>
    </row>
    <row r="15" spans="1:10" x14ac:dyDescent="0.2">
      <c r="A15" s="65">
        <f>A14+1</f>
        <v>8</v>
      </c>
      <c r="B15" s="57"/>
      <c r="C15" s="70" t="s">
        <v>66</v>
      </c>
      <c r="D15" s="57"/>
      <c r="E15" s="57"/>
      <c r="F15" s="57"/>
      <c r="G15" s="57"/>
      <c r="H15" s="57" t="str">
        <f>"Line "&amp;A12&amp;" + Line "&amp;A13&amp;" + Line "&amp;A14&amp;""</f>
        <v>Line 5 + Line 6 + Line 7</v>
      </c>
      <c r="I15" s="57"/>
      <c r="J15" s="88">
        <f>SUM(J12:J14)</f>
        <v>22019486.411880381</v>
      </c>
    </row>
    <row r="16" spans="1:10" x14ac:dyDescent="0.2">
      <c r="A16" s="65"/>
      <c r="B16" s="57"/>
      <c r="C16" s="70"/>
      <c r="D16" s="57"/>
      <c r="E16" s="57"/>
      <c r="F16" s="57"/>
      <c r="G16" s="57"/>
      <c r="H16" s="57"/>
      <c r="I16" s="57"/>
      <c r="J16" s="88"/>
    </row>
    <row r="17" spans="1:10" x14ac:dyDescent="0.2">
      <c r="A17" s="65"/>
      <c r="B17" s="57"/>
      <c r="C17" s="73" t="s">
        <v>67</v>
      </c>
      <c r="D17" s="57"/>
      <c r="E17" s="57"/>
      <c r="F17" s="57"/>
      <c r="G17" s="57"/>
      <c r="H17" s="57"/>
      <c r="I17" s="57"/>
      <c r="J17" s="88"/>
    </row>
    <row r="18" spans="1:10" x14ac:dyDescent="0.2">
      <c r="A18" s="65">
        <f>A15+1</f>
        <v>9</v>
      </c>
      <c r="B18" s="57"/>
      <c r="C18" s="70" t="s">
        <v>68</v>
      </c>
      <c r="D18" s="57"/>
      <c r="E18" s="57"/>
      <c r="F18" s="57" t="s">
        <v>56</v>
      </c>
      <c r="G18" s="57" t="s">
        <v>69</v>
      </c>
      <c r="H18" s="66" t="s">
        <v>752</v>
      </c>
      <c r="I18" s="57"/>
      <c r="J18" s="275">
        <v>-1071623975.5632911</v>
      </c>
    </row>
    <row r="19" spans="1:10" x14ac:dyDescent="0.2">
      <c r="A19" s="65">
        <f>A18+1</f>
        <v>10</v>
      </c>
      <c r="B19" s="57"/>
      <c r="C19" s="70" t="s">
        <v>70</v>
      </c>
      <c r="D19" s="57"/>
      <c r="E19" s="57"/>
      <c r="F19" s="57" t="s">
        <v>58</v>
      </c>
      <c r="G19" s="57" t="s">
        <v>69</v>
      </c>
      <c r="H19" s="66" t="s">
        <v>753</v>
      </c>
      <c r="I19" s="57"/>
      <c r="J19" s="88">
        <v>-581109.91</v>
      </c>
    </row>
    <row r="20" spans="1:10" x14ac:dyDescent="0.2">
      <c r="A20" s="65">
        <f>A19+1</f>
        <v>11</v>
      </c>
      <c r="B20" s="57"/>
      <c r="C20" s="70" t="s">
        <v>71</v>
      </c>
      <c r="D20" s="74"/>
      <c r="E20" s="57"/>
      <c r="F20" s="57" t="s">
        <v>58</v>
      </c>
      <c r="G20" s="57" t="s">
        <v>69</v>
      </c>
      <c r="H20" s="66" t="s">
        <v>754</v>
      </c>
      <c r="I20" s="57"/>
      <c r="J20" s="260">
        <v>-68533982.65490599</v>
      </c>
    </row>
    <row r="21" spans="1:10" x14ac:dyDescent="0.2">
      <c r="A21" s="65">
        <f>A20+1</f>
        <v>12</v>
      </c>
      <c r="B21" s="57"/>
      <c r="C21" s="75" t="s">
        <v>72</v>
      </c>
      <c r="D21" s="74"/>
      <c r="E21" s="57"/>
      <c r="F21" s="57"/>
      <c r="G21" s="57"/>
      <c r="H21" s="57" t="str">
        <f>"Line "&amp;A18&amp;" + Line "&amp;A19&amp;" + Line "&amp;A20&amp;""</f>
        <v>Line 9 + Line 10 + Line 11</v>
      </c>
      <c r="I21" s="57"/>
      <c r="J21" s="275">
        <f>SUM(J18:J20)</f>
        <v>-1140739068.128197</v>
      </c>
    </row>
    <row r="22" spans="1:10" x14ac:dyDescent="0.2">
      <c r="A22" s="65"/>
      <c r="B22" s="57"/>
      <c r="C22" s="68"/>
      <c r="D22" s="57"/>
      <c r="E22" s="57"/>
      <c r="F22" s="57"/>
      <c r="G22" s="57"/>
      <c r="H22" s="57"/>
      <c r="I22" s="57"/>
      <c r="J22" s="88"/>
    </row>
    <row r="23" spans="1:10" x14ac:dyDescent="0.2">
      <c r="A23" s="65">
        <f>A21+1</f>
        <v>13</v>
      </c>
      <c r="B23" s="57"/>
      <c r="C23" s="76" t="s">
        <v>73</v>
      </c>
      <c r="D23" s="57"/>
      <c r="E23" s="57"/>
      <c r="F23" s="57" t="s">
        <v>58</v>
      </c>
      <c r="G23" s="57"/>
      <c r="H23" s="66" t="s">
        <v>755</v>
      </c>
      <c r="I23" s="57"/>
      <c r="J23" s="88">
        <v>-820197182.21311426</v>
      </c>
    </row>
    <row r="24" spans="1:10" x14ac:dyDescent="0.2">
      <c r="A24" s="65">
        <f>A23+1</f>
        <v>14</v>
      </c>
      <c r="B24" s="57"/>
      <c r="C24" s="66" t="s">
        <v>74</v>
      </c>
      <c r="D24" s="57"/>
      <c r="E24" s="57"/>
      <c r="F24" s="57" t="s">
        <v>56</v>
      </c>
      <c r="G24" s="57"/>
      <c r="H24" s="66" t="s">
        <v>756</v>
      </c>
      <c r="I24" s="57"/>
      <c r="J24" s="275">
        <v>1340260797.3266647</v>
      </c>
    </row>
    <row r="25" spans="1:10" x14ac:dyDescent="0.2">
      <c r="A25" s="65">
        <f>A24+1</f>
        <v>15</v>
      </c>
      <c r="B25" s="57"/>
      <c r="C25" s="76" t="s">
        <v>75</v>
      </c>
      <c r="D25" s="57"/>
      <c r="E25" s="57"/>
      <c r="F25" s="57" t="s">
        <v>58</v>
      </c>
      <c r="G25" s="57" t="s">
        <v>69</v>
      </c>
      <c r="H25" s="66" t="s">
        <v>757</v>
      </c>
      <c r="I25" s="57"/>
      <c r="J25" s="88">
        <v>-26630218.84</v>
      </c>
    </row>
    <row r="26" spans="1:10" x14ac:dyDescent="0.2">
      <c r="A26" s="65" t="s">
        <v>76</v>
      </c>
      <c r="B26" s="57"/>
      <c r="C26" s="66" t="s">
        <v>77</v>
      </c>
      <c r="D26" s="57"/>
      <c r="E26" s="57"/>
      <c r="F26" s="57"/>
      <c r="G26" s="57"/>
      <c r="H26" s="68" t="s">
        <v>758</v>
      </c>
      <c r="I26" s="57"/>
      <c r="J26" s="88">
        <v>-6563773.2916891603</v>
      </c>
    </row>
    <row r="27" spans="1:10" x14ac:dyDescent="0.2">
      <c r="A27" s="65">
        <v>16</v>
      </c>
      <c r="B27" s="57"/>
      <c r="C27" s="76" t="s">
        <v>78</v>
      </c>
      <c r="D27" s="57"/>
      <c r="E27" s="57"/>
      <c r="F27" s="57" t="s">
        <v>58</v>
      </c>
      <c r="G27" s="57"/>
      <c r="H27" s="66" t="s">
        <v>759</v>
      </c>
      <c r="I27" s="57"/>
      <c r="J27" s="88">
        <v>0</v>
      </c>
    </row>
    <row r="28" spans="1:10" x14ac:dyDescent="0.2">
      <c r="A28" s="65"/>
      <c r="B28" s="57"/>
      <c r="C28" s="76"/>
      <c r="D28" s="57"/>
      <c r="E28" s="57"/>
      <c r="F28" s="57"/>
      <c r="G28" s="57"/>
      <c r="H28" s="57"/>
      <c r="I28" s="57"/>
      <c r="J28" s="57"/>
    </row>
    <row r="29" spans="1:10" x14ac:dyDescent="0.2">
      <c r="A29" s="65">
        <v>17</v>
      </c>
      <c r="B29" s="57"/>
      <c r="C29" s="57" t="s">
        <v>79</v>
      </c>
      <c r="D29" s="57"/>
      <c r="E29" s="57"/>
      <c r="F29" s="57"/>
      <c r="G29" s="57"/>
      <c r="H29" s="57" t="str">
        <f>"L"&amp;A6&amp;"+L"&amp;A7&amp;"+L"&amp;A8&amp;"+L"&amp;A9&amp;"+L"&amp;A15&amp;"+L"&amp;A21&amp;"+"</f>
        <v>L1+L2+L3+L4+L8+L12+</v>
      </c>
      <c r="I29" s="57"/>
      <c r="J29" s="275">
        <f>J6+ J7+J8+J9+J15+J21+J23+J24+J25+J26+J27</f>
        <v>4460932305.9573536</v>
      </c>
    </row>
    <row r="30" spans="1:10" x14ac:dyDescent="0.2">
      <c r="A30" s="65"/>
      <c r="B30" s="57"/>
      <c r="C30" s="57"/>
      <c r="D30" s="57"/>
      <c r="E30" s="57"/>
      <c r="F30" s="57"/>
      <c r="G30" s="57"/>
      <c r="H30" s="57" t="str">
        <f>"L"&amp;A23&amp;"+L"&amp;A24&amp;"+L"&amp;A25&amp;"+L"&amp;A26&amp;"+L"&amp;A27&amp;""</f>
        <v>L13+L14+L15+L15a+L16</v>
      </c>
      <c r="I30" s="57"/>
      <c r="J30" s="88"/>
    </row>
    <row r="31" spans="1:10" x14ac:dyDescent="0.2">
      <c r="A31" s="65"/>
      <c r="B31" s="79" t="s">
        <v>80</v>
      </c>
      <c r="D31" s="57"/>
      <c r="E31" s="57"/>
      <c r="F31" s="57"/>
      <c r="G31" s="57"/>
      <c r="H31" s="57"/>
      <c r="I31" s="57"/>
      <c r="J31" s="88"/>
    </row>
    <row r="32" spans="1:10" x14ac:dyDescent="0.2">
      <c r="A32" s="80" t="s">
        <v>50</v>
      </c>
      <c r="B32" s="57"/>
      <c r="C32" s="79"/>
      <c r="D32" s="57"/>
      <c r="E32" s="57"/>
      <c r="F32" s="57"/>
      <c r="G32" s="57"/>
      <c r="H32" s="57"/>
      <c r="I32" s="57"/>
      <c r="J32" s="88"/>
    </row>
    <row r="33" spans="1:10" x14ac:dyDescent="0.2">
      <c r="A33" s="65">
        <f>A29+1</f>
        <v>18</v>
      </c>
      <c r="B33" s="57"/>
      <c r="C33" s="57" t="s">
        <v>81</v>
      </c>
      <c r="D33" s="57"/>
      <c r="E33" s="57"/>
      <c r="F33" s="57"/>
      <c r="G33" s="68" t="s">
        <v>82</v>
      </c>
      <c r="H33" s="68" t="str">
        <f>"Instruction 1, Line "&amp;B98&amp;""</f>
        <v>Instruction 1, Line j</v>
      </c>
      <c r="I33" s="57"/>
      <c r="J33" s="115">
        <f>E98</f>
        <v>7.454217841486209E-2</v>
      </c>
    </row>
    <row r="34" spans="1:10" x14ac:dyDescent="0.2">
      <c r="A34" s="60">
        <f>A33+1</f>
        <v>19</v>
      </c>
      <c r="C34" s="68" t="s">
        <v>83</v>
      </c>
      <c r="D34" s="68"/>
      <c r="E34" s="68"/>
      <c r="F34" s="68"/>
      <c r="G34" s="68"/>
      <c r="H34" t="str">
        <f>"Line "&amp;A29&amp;" * Line "&amp;A33&amp;""</f>
        <v>Line 17 * Line 18</v>
      </c>
      <c r="J34" s="274">
        <f>J29*J33</f>
        <v>332527611.84729522</v>
      </c>
    </row>
    <row r="35" spans="1:10" x14ac:dyDescent="0.2">
      <c r="A35" s="60"/>
      <c r="B35" s="62"/>
    </row>
    <row r="36" spans="1:10" x14ac:dyDescent="0.2">
      <c r="A36" s="60"/>
      <c r="B36" s="56" t="s">
        <v>84</v>
      </c>
    </row>
    <row r="37" spans="1:10" x14ac:dyDescent="0.2">
      <c r="A37" s="65"/>
      <c r="B37" s="71"/>
      <c r="C37" s="57"/>
      <c r="D37" s="57"/>
      <c r="E37" s="57"/>
      <c r="F37" s="57"/>
      <c r="G37" s="57"/>
      <c r="H37" s="57"/>
      <c r="I37" s="57"/>
      <c r="J37" s="57"/>
    </row>
    <row r="38" spans="1:10" x14ac:dyDescent="0.2">
      <c r="A38" s="65">
        <f>A34+1</f>
        <v>20</v>
      </c>
      <c r="B38" s="57"/>
      <c r="C38" s="68" t="s">
        <v>85</v>
      </c>
      <c r="D38" s="57"/>
      <c r="E38" s="57"/>
      <c r="F38" s="57"/>
      <c r="G38" s="57"/>
      <c r="H38" s="57"/>
      <c r="I38" s="57"/>
      <c r="J38" s="275">
        <f>(((J29*J42) + J45) *(J43/(1-J43)))+(J44/(1-J43))</f>
        <v>160806365.10978273</v>
      </c>
    </row>
    <row r="39" spans="1:10" x14ac:dyDescent="0.2">
      <c r="A39" s="65"/>
      <c r="B39" s="57"/>
      <c r="C39" s="57"/>
      <c r="D39" s="57"/>
      <c r="E39" s="57"/>
      <c r="F39" s="57"/>
      <c r="G39" s="57"/>
      <c r="H39" s="57"/>
      <c r="I39" s="57"/>
      <c r="J39" s="68"/>
    </row>
    <row r="40" spans="1:10" x14ac:dyDescent="0.2">
      <c r="A40" s="65"/>
      <c r="B40" s="57"/>
      <c r="C40" s="57"/>
      <c r="D40" s="57" t="s">
        <v>86</v>
      </c>
      <c r="E40" s="57"/>
      <c r="F40" s="57"/>
      <c r="G40" s="57"/>
      <c r="H40" s="57"/>
      <c r="I40" s="57"/>
      <c r="J40" s="57"/>
    </row>
    <row r="41" spans="1:10" x14ac:dyDescent="0.2">
      <c r="A41" s="65">
        <f>A38+1</f>
        <v>21</v>
      </c>
      <c r="B41" s="57"/>
      <c r="C41" s="57"/>
      <c r="D41" s="71" t="s">
        <v>87</v>
      </c>
      <c r="E41" s="57"/>
      <c r="F41" s="57"/>
      <c r="G41" s="57"/>
      <c r="H41" s="57" t="str">
        <f>"Line "&amp;A29&amp;""</f>
        <v>Line 17</v>
      </c>
      <c r="I41" s="57"/>
      <c r="J41" s="275">
        <f>J29</f>
        <v>4460932305.9573536</v>
      </c>
    </row>
    <row r="42" spans="1:10" x14ac:dyDescent="0.2">
      <c r="A42" s="65">
        <f>A41+1</f>
        <v>22</v>
      </c>
      <c r="B42" s="57"/>
      <c r="C42" s="57"/>
      <c r="D42" s="70" t="s">
        <v>88</v>
      </c>
      <c r="E42" s="57"/>
      <c r="F42" s="57"/>
      <c r="G42" s="68" t="s">
        <v>89</v>
      </c>
      <c r="H42" s="68" t="str">
        <f>"Instruction 1, Line "&amp;B103&amp;""</f>
        <v>Instruction 1, Line k</v>
      </c>
      <c r="I42" s="57"/>
      <c r="J42" s="113">
        <f>E103</f>
        <v>5.1519615850734668E-2</v>
      </c>
    </row>
    <row r="43" spans="1:10" x14ac:dyDescent="0.2">
      <c r="A43" s="65">
        <f>A42+1</f>
        <v>23</v>
      </c>
      <c r="B43" s="57"/>
      <c r="C43" s="57"/>
      <c r="D43" s="71" t="s">
        <v>90</v>
      </c>
      <c r="E43" s="57"/>
      <c r="F43" s="57"/>
      <c r="G43" s="57"/>
      <c r="H43" s="57" t="s">
        <v>736</v>
      </c>
      <c r="I43" s="57"/>
      <c r="J43" s="113">
        <v>0.40439353647240123</v>
      </c>
    </row>
    <row r="44" spans="1:10" x14ac:dyDescent="0.2">
      <c r="A44" s="65">
        <f>A43+1</f>
        <v>24</v>
      </c>
      <c r="B44" s="57"/>
      <c r="C44" s="57"/>
      <c r="D44" s="71" t="s">
        <v>91</v>
      </c>
      <c r="E44" s="57"/>
      <c r="F44" s="57"/>
      <c r="G44" s="57"/>
      <c r="H44" s="57" t="s">
        <v>737</v>
      </c>
      <c r="I44" s="57"/>
      <c r="J44" s="88">
        <v>2086200</v>
      </c>
    </row>
    <row r="45" spans="1:10" x14ac:dyDescent="0.2">
      <c r="A45" s="65">
        <f>A44+1</f>
        <v>25</v>
      </c>
      <c r="B45" s="57"/>
      <c r="C45" s="57"/>
      <c r="D45" s="71" t="s">
        <v>92</v>
      </c>
      <c r="E45" s="57"/>
      <c r="F45" s="57"/>
      <c r="G45" s="57"/>
      <c r="H45" s="57" t="s">
        <v>738</v>
      </c>
      <c r="I45" s="57"/>
      <c r="J45" s="152">
        <v>1857488</v>
      </c>
    </row>
    <row r="46" spans="1:10" x14ac:dyDescent="0.2">
      <c r="A46" s="65"/>
      <c r="B46" s="71"/>
      <c r="C46" s="57"/>
      <c r="D46" s="57"/>
      <c r="E46" s="57"/>
      <c r="F46" s="57"/>
      <c r="G46" s="57"/>
      <c r="H46" s="57"/>
      <c r="I46" s="57"/>
      <c r="J46" s="57"/>
    </row>
    <row r="47" spans="1:10" x14ac:dyDescent="0.2">
      <c r="A47" s="65"/>
      <c r="B47" s="79" t="s">
        <v>93</v>
      </c>
      <c r="D47" s="57"/>
      <c r="E47" s="57"/>
      <c r="F47" s="57"/>
      <c r="G47" s="57"/>
      <c r="H47" s="57"/>
      <c r="I47" s="57"/>
      <c r="J47" s="57"/>
    </row>
    <row r="48" spans="1:10" x14ac:dyDescent="0.2">
      <c r="A48" s="65">
        <f>A45+1</f>
        <v>26</v>
      </c>
      <c r="B48" s="71"/>
      <c r="C48" s="57" t="s">
        <v>94</v>
      </c>
      <c r="D48" s="57"/>
      <c r="E48" s="57"/>
      <c r="F48" s="57"/>
      <c r="G48" s="57"/>
      <c r="H48" s="57" t="s">
        <v>739</v>
      </c>
      <c r="I48" s="57"/>
      <c r="J48" s="88">
        <v>75371480.003659368</v>
      </c>
    </row>
    <row r="49" spans="1:10" x14ac:dyDescent="0.2">
      <c r="A49" s="65">
        <f t="shared" ref="A49:A60" si="0">A48+1</f>
        <v>27</v>
      </c>
      <c r="B49" s="71"/>
      <c r="C49" s="68" t="s">
        <v>95</v>
      </c>
      <c r="D49" s="57"/>
      <c r="E49" s="57"/>
      <c r="F49" s="57"/>
      <c r="G49" s="57"/>
      <c r="H49" s="57" t="s">
        <v>740</v>
      </c>
      <c r="I49" s="57"/>
      <c r="J49" s="88">
        <v>40052709.058073893</v>
      </c>
    </row>
    <row r="50" spans="1:10" x14ac:dyDescent="0.2">
      <c r="A50" s="191" t="s">
        <v>476</v>
      </c>
      <c r="B50" s="373"/>
      <c r="C50" s="83" t="s">
        <v>477</v>
      </c>
      <c r="D50" s="78"/>
      <c r="E50" s="78"/>
      <c r="F50" s="78"/>
      <c r="G50" s="78"/>
      <c r="H50" s="78" t="s">
        <v>765</v>
      </c>
      <c r="I50" s="78"/>
      <c r="J50" s="67">
        <v>2539057.5575624197</v>
      </c>
    </row>
    <row r="51" spans="1:10" x14ac:dyDescent="0.2">
      <c r="A51" s="65">
        <f>A49+1</f>
        <v>28</v>
      </c>
      <c r="B51" s="71"/>
      <c r="C51" s="57" t="s">
        <v>96</v>
      </c>
      <c r="D51" s="57"/>
      <c r="E51" s="57"/>
      <c r="F51" s="57"/>
      <c r="G51" s="57"/>
      <c r="H51" s="57" t="s">
        <v>741</v>
      </c>
      <c r="I51" s="57"/>
      <c r="J51" s="88">
        <v>1897885</v>
      </c>
    </row>
    <row r="52" spans="1:10" x14ac:dyDescent="0.2">
      <c r="A52" s="65">
        <f t="shared" si="0"/>
        <v>29</v>
      </c>
      <c r="B52" s="71"/>
      <c r="C52" s="68" t="s">
        <v>97</v>
      </c>
      <c r="D52" s="57"/>
      <c r="E52" s="57"/>
      <c r="F52" s="57"/>
      <c r="G52" s="57"/>
      <c r="H52" s="57" t="s">
        <v>742</v>
      </c>
      <c r="I52" s="57"/>
      <c r="J52" s="275">
        <v>140361552.5516125</v>
      </c>
    </row>
    <row r="53" spans="1:10" x14ac:dyDescent="0.2">
      <c r="A53" s="65">
        <f t="shared" si="0"/>
        <v>30</v>
      </c>
      <c r="B53" s="71"/>
      <c r="C53" s="68" t="s">
        <v>98</v>
      </c>
      <c r="D53" s="57"/>
      <c r="E53" s="57"/>
      <c r="F53" s="57"/>
      <c r="G53" s="57"/>
      <c r="H53" s="57" t="s">
        <v>743</v>
      </c>
      <c r="I53" s="57"/>
      <c r="J53" s="88">
        <v>0</v>
      </c>
    </row>
    <row r="54" spans="1:10" x14ac:dyDescent="0.2">
      <c r="A54" s="65">
        <f t="shared" si="0"/>
        <v>31</v>
      </c>
      <c r="B54" s="71"/>
      <c r="C54" s="68" t="s">
        <v>99</v>
      </c>
      <c r="D54" s="57"/>
      <c r="E54" s="57"/>
      <c r="F54" s="57"/>
      <c r="G54" s="57"/>
      <c r="H54" s="57" t="s">
        <v>744</v>
      </c>
      <c r="I54" s="57"/>
      <c r="J54" s="88">
        <v>39811694.291338205</v>
      </c>
    </row>
    <row r="55" spans="1:10" x14ac:dyDescent="0.2">
      <c r="A55" s="65">
        <f t="shared" si="0"/>
        <v>32</v>
      </c>
      <c r="B55" s="71"/>
      <c r="C55" s="57" t="s">
        <v>100</v>
      </c>
      <c r="D55" s="57"/>
      <c r="E55" s="57"/>
      <c r="F55" s="57"/>
      <c r="G55" s="68"/>
      <c r="H55" s="57" t="s">
        <v>745</v>
      </c>
      <c r="I55" s="57"/>
      <c r="J55" s="88">
        <v>-45826067.143195026</v>
      </c>
    </row>
    <row r="56" spans="1:10" x14ac:dyDescent="0.2">
      <c r="A56" s="65">
        <f t="shared" si="0"/>
        <v>33</v>
      </c>
      <c r="B56" s="71"/>
      <c r="C56" s="57" t="s">
        <v>101</v>
      </c>
      <c r="D56" s="57"/>
      <c r="E56" s="57"/>
      <c r="F56" s="57"/>
      <c r="G56" s="57"/>
      <c r="H56" s="57" t="str">
        <f>"Line "&amp;A34&amp;""</f>
        <v>Line 19</v>
      </c>
      <c r="I56" s="57"/>
      <c r="J56" s="275">
        <f>J34</f>
        <v>332527611.84729522</v>
      </c>
    </row>
    <row r="57" spans="1:10" x14ac:dyDescent="0.2">
      <c r="A57" s="65">
        <f t="shared" si="0"/>
        <v>34</v>
      </c>
      <c r="B57" s="71"/>
      <c r="C57" s="57" t="s">
        <v>102</v>
      </c>
      <c r="D57" s="57"/>
      <c r="E57" s="57"/>
      <c r="F57" s="57"/>
      <c r="G57" s="57"/>
      <c r="H57" s="57" t="str">
        <f>"Line "&amp;A38&amp;""</f>
        <v>Line 20</v>
      </c>
      <c r="I57" s="57"/>
      <c r="J57" s="274">
        <f>J38</f>
        <v>160806365.10978273</v>
      </c>
    </row>
    <row r="58" spans="1:10" x14ac:dyDescent="0.2">
      <c r="A58" s="65">
        <f t="shared" si="0"/>
        <v>35</v>
      </c>
      <c r="B58" s="71"/>
      <c r="C58" s="68" t="s">
        <v>103</v>
      </c>
      <c r="D58" s="57"/>
      <c r="E58" s="57"/>
      <c r="F58" s="57"/>
      <c r="G58" s="57"/>
      <c r="H58" s="57" t="s">
        <v>746</v>
      </c>
      <c r="I58" s="57"/>
      <c r="J58" s="152">
        <v>0</v>
      </c>
    </row>
    <row r="59" spans="1:10" x14ac:dyDescent="0.2">
      <c r="A59" s="65">
        <f t="shared" si="0"/>
        <v>36</v>
      </c>
      <c r="B59" s="71"/>
      <c r="C59" s="86" t="s">
        <v>104</v>
      </c>
      <c r="D59" s="87"/>
      <c r="E59" s="57"/>
      <c r="F59" s="57"/>
      <c r="G59" s="57"/>
      <c r="H59" s="57" t="s">
        <v>747</v>
      </c>
      <c r="I59" s="57"/>
      <c r="J59" s="260">
        <v>0</v>
      </c>
    </row>
    <row r="60" spans="1:10" x14ac:dyDescent="0.2">
      <c r="A60" s="65">
        <f t="shared" si="0"/>
        <v>37</v>
      </c>
      <c r="B60" s="71"/>
      <c r="C60" s="68" t="s">
        <v>105</v>
      </c>
      <c r="D60" s="57"/>
      <c r="E60" s="57"/>
      <c r="F60" s="57"/>
      <c r="G60" s="57"/>
      <c r="H60" s="57" t="str">
        <f>"Sum Line "&amp;A48&amp;" to Line "&amp;A59&amp;""</f>
        <v>Sum Line 26 to Line 36</v>
      </c>
      <c r="I60" s="57"/>
      <c r="J60" s="77">
        <f>SUM(J48:J59)</f>
        <v>747542288.27612925</v>
      </c>
    </row>
    <row r="61" spans="1:10" x14ac:dyDescent="0.2">
      <c r="A61" s="65"/>
      <c r="B61" s="71"/>
      <c r="C61" s="57"/>
      <c r="D61" s="57"/>
      <c r="E61" s="57"/>
      <c r="F61" s="57"/>
      <c r="G61" s="57"/>
      <c r="H61" s="57"/>
      <c r="I61" s="57"/>
      <c r="J61" s="88"/>
    </row>
    <row r="62" spans="1:10" ht="12.75" customHeight="1" x14ac:dyDescent="0.2">
      <c r="A62" s="65">
        <f>A60+1</f>
        <v>38</v>
      </c>
      <c r="B62" s="71"/>
      <c r="C62" s="68" t="s">
        <v>106</v>
      </c>
      <c r="D62" s="57"/>
      <c r="E62" s="57"/>
      <c r="F62" s="57"/>
      <c r="G62" s="57"/>
      <c r="H62" s="57" t="s">
        <v>760</v>
      </c>
      <c r="I62" s="57"/>
      <c r="J62" s="275">
        <v>25789647.481252577</v>
      </c>
    </row>
    <row r="63" spans="1:10" x14ac:dyDescent="0.2">
      <c r="A63" s="65"/>
      <c r="B63" s="71"/>
      <c r="C63" s="68"/>
      <c r="D63" s="57"/>
      <c r="E63" s="57"/>
      <c r="F63" s="57"/>
      <c r="G63" s="57"/>
      <c r="H63" s="57"/>
      <c r="I63" s="57"/>
      <c r="J63" s="88"/>
    </row>
    <row r="64" spans="1:10" x14ac:dyDescent="0.2">
      <c r="A64" s="65">
        <f>A62+1</f>
        <v>39</v>
      </c>
      <c r="B64" s="71"/>
      <c r="C64" s="68" t="s">
        <v>107</v>
      </c>
      <c r="D64" s="57"/>
      <c r="E64" s="57"/>
      <c r="F64" s="57"/>
      <c r="G64" s="57"/>
      <c r="H64" s="57" t="str">
        <f>"Line "&amp;A60&amp;" + Line "&amp;A62&amp;""</f>
        <v>Line 37 + Line 38</v>
      </c>
      <c r="I64" s="57"/>
      <c r="J64" s="275">
        <f>J60+J62</f>
        <v>773331935.7573818</v>
      </c>
    </row>
    <row r="65" spans="1:10" x14ac:dyDescent="0.2">
      <c r="A65" s="65"/>
      <c r="B65" s="71"/>
      <c r="C65" s="68"/>
      <c r="D65" s="57"/>
      <c r="E65" s="57"/>
      <c r="F65" s="57"/>
      <c r="G65" s="57"/>
      <c r="H65" s="57"/>
      <c r="I65" s="57"/>
      <c r="J65" s="88"/>
    </row>
    <row r="66" spans="1:10" x14ac:dyDescent="0.2">
      <c r="A66" s="65"/>
      <c r="B66" s="89" t="s">
        <v>108</v>
      </c>
      <c r="C66" s="68"/>
      <c r="D66" s="57"/>
      <c r="E66" s="57"/>
      <c r="F66" s="57"/>
      <c r="G66" s="57"/>
      <c r="H66" s="57"/>
      <c r="I66" s="57"/>
      <c r="J66" s="88"/>
    </row>
    <row r="67" spans="1:10" ht="13.5" thickBot="1" x14ac:dyDescent="0.25">
      <c r="A67" s="61" t="s">
        <v>50</v>
      </c>
      <c r="B67" s="90"/>
      <c r="G67" s="63" t="s">
        <v>109</v>
      </c>
    </row>
    <row r="68" spans="1:10" x14ac:dyDescent="0.2">
      <c r="A68" s="65">
        <f>A64+1</f>
        <v>40</v>
      </c>
      <c r="B68" s="76"/>
      <c r="C68" s="57"/>
      <c r="D68" s="91" t="s">
        <v>110</v>
      </c>
      <c r="E68" s="275">
        <f>J64</f>
        <v>773331935.7573818</v>
      </c>
      <c r="F68" s="57"/>
      <c r="G68" s="57" t="str">
        <f>"Line "&amp;A64&amp;""</f>
        <v>Line 39</v>
      </c>
      <c r="H68" s="57"/>
      <c r="I68" s="57"/>
      <c r="J68" s="92" t="s">
        <v>111</v>
      </c>
    </row>
    <row r="69" spans="1:10" x14ac:dyDescent="0.2">
      <c r="A69" s="65">
        <f>A68+1</f>
        <v>41</v>
      </c>
      <c r="B69" s="76"/>
      <c r="C69" s="57"/>
      <c r="D69" s="91" t="s">
        <v>112</v>
      </c>
      <c r="E69" s="374">
        <v>9.1427999999999995E-3</v>
      </c>
      <c r="F69" s="57"/>
      <c r="G69" s="57" t="s">
        <v>761</v>
      </c>
      <c r="H69" s="57"/>
      <c r="I69" s="57"/>
      <c r="J69" s="94" t="s">
        <v>478</v>
      </c>
    </row>
    <row r="70" spans="1:10" x14ac:dyDescent="0.2">
      <c r="A70" s="65">
        <f>A69+1</f>
        <v>42</v>
      </c>
      <c r="B70" s="76"/>
      <c r="C70" s="57"/>
      <c r="D70" s="95" t="s">
        <v>114</v>
      </c>
      <c r="E70" s="275">
        <v>7070419.22224259</v>
      </c>
      <c r="F70" s="57"/>
      <c r="G70" s="57" t="str">
        <f>"Line "&amp;A68&amp;" * Line "&amp;A69&amp;""</f>
        <v>Line 40 * Line 41</v>
      </c>
      <c r="H70" s="57"/>
      <c r="I70" s="57"/>
      <c r="J70" s="96">
        <f>E73</f>
        <v>781990933.44205725</v>
      </c>
    </row>
    <row r="71" spans="1:10" x14ac:dyDescent="0.2">
      <c r="A71" s="65">
        <f>A70+1</f>
        <v>43</v>
      </c>
      <c r="B71" s="76"/>
      <c r="C71" s="57"/>
      <c r="D71" s="91" t="s">
        <v>115</v>
      </c>
      <c r="E71" s="374">
        <v>2.0541999999999999E-3</v>
      </c>
      <c r="F71" s="57"/>
      <c r="G71" s="57" t="s">
        <v>761</v>
      </c>
      <c r="H71" s="57"/>
      <c r="I71" s="57"/>
      <c r="J71" s="97">
        <v>781976785</v>
      </c>
    </row>
    <row r="72" spans="1:10" ht="13.5" thickBot="1" x14ac:dyDescent="0.25">
      <c r="A72" s="65">
        <f>A71+1</f>
        <v>44</v>
      </c>
      <c r="B72" s="76"/>
      <c r="C72" s="57"/>
      <c r="D72" s="91" t="s">
        <v>116</v>
      </c>
      <c r="E72" s="275">
        <v>1588578.4624328136</v>
      </c>
      <c r="F72" s="57"/>
      <c r="G72" s="57" t="str">
        <f>"Line "&amp;A70&amp;" * Line "&amp;A71&amp;""</f>
        <v>Line 42 * Line 43</v>
      </c>
      <c r="H72" s="57"/>
      <c r="I72" s="57"/>
      <c r="J72" s="98">
        <f>J70-J71</f>
        <v>14148.44205725193</v>
      </c>
    </row>
    <row r="73" spans="1:10" x14ac:dyDescent="0.2">
      <c r="A73" s="65">
        <f>A72+1</f>
        <v>45</v>
      </c>
      <c r="B73" s="76"/>
      <c r="C73" s="57"/>
      <c r="D73" s="91" t="s">
        <v>117</v>
      </c>
      <c r="E73" s="275">
        <f>E68+E70+E72</f>
        <v>781990933.44205725</v>
      </c>
      <c r="F73" s="57"/>
      <c r="G73" s="57" t="str">
        <f>"L "&amp;A68&amp;" + L "&amp;A70&amp;" + L "&amp;A72&amp;""</f>
        <v>L 40 + L 42 + L 44</v>
      </c>
      <c r="H73" s="57"/>
      <c r="I73" s="57"/>
      <c r="J73" s="57"/>
    </row>
    <row r="74" spans="1:10" x14ac:dyDescent="0.2">
      <c r="A74" s="57"/>
      <c r="B74" s="99" t="s">
        <v>118</v>
      </c>
      <c r="C74" s="57"/>
      <c r="D74" s="95"/>
      <c r="E74" s="88"/>
      <c r="F74" s="57"/>
      <c r="G74" s="57"/>
      <c r="H74" s="100"/>
      <c r="I74" s="57"/>
      <c r="J74" s="57"/>
    </row>
    <row r="75" spans="1:10" x14ac:dyDescent="0.2">
      <c r="A75" s="65"/>
      <c r="B75" s="68" t="s">
        <v>119</v>
      </c>
      <c r="C75" s="89"/>
      <c r="D75" s="95"/>
      <c r="E75" s="88"/>
      <c r="F75" s="57"/>
      <c r="G75" s="57"/>
      <c r="H75" s="57"/>
      <c r="I75" s="57"/>
      <c r="J75" s="57"/>
    </row>
    <row r="76" spans="1:10" x14ac:dyDescent="0.2">
      <c r="A76" s="65"/>
      <c r="B76" s="68" t="s">
        <v>120</v>
      </c>
      <c r="C76" s="89"/>
      <c r="D76" s="95"/>
      <c r="E76" s="88"/>
      <c r="F76" s="57"/>
      <c r="G76" s="57"/>
      <c r="H76" s="57"/>
      <c r="I76" s="57"/>
      <c r="J76" s="57"/>
    </row>
    <row r="77" spans="1:10" x14ac:dyDescent="0.2">
      <c r="A77" s="65"/>
      <c r="B77" s="66" t="s">
        <v>121</v>
      </c>
      <c r="C77" s="68"/>
      <c r="D77" s="95"/>
      <c r="E77" s="88"/>
      <c r="F77" s="57"/>
      <c r="G77" s="57"/>
      <c r="H77" s="57"/>
      <c r="I77" s="57"/>
      <c r="J77" s="57"/>
    </row>
    <row r="78" spans="1:10" x14ac:dyDescent="0.2">
      <c r="A78" s="65"/>
      <c r="B78" s="66" t="s">
        <v>122</v>
      </c>
      <c r="C78" s="57"/>
      <c r="D78" s="95"/>
      <c r="E78" s="88"/>
      <c r="F78" s="57"/>
      <c r="G78" s="57"/>
      <c r="H78" s="57"/>
      <c r="I78" s="57"/>
      <c r="J78" s="57"/>
    </row>
    <row r="79" spans="1:10" x14ac:dyDescent="0.2">
      <c r="A79" s="65"/>
      <c r="B79" s="57"/>
      <c r="C79" s="57"/>
      <c r="D79" s="57"/>
      <c r="E79" s="57"/>
      <c r="F79" s="57"/>
      <c r="G79" s="57"/>
      <c r="H79" s="57"/>
      <c r="I79" s="57"/>
      <c r="J79" s="57"/>
    </row>
    <row r="80" spans="1:10" x14ac:dyDescent="0.2">
      <c r="A80" s="65"/>
      <c r="B80" s="68" t="s">
        <v>123</v>
      </c>
      <c r="C80" s="57"/>
      <c r="D80" s="57"/>
      <c r="E80" s="57"/>
      <c r="F80" s="57"/>
      <c r="G80" s="57"/>
      <c r="H80" s="57"/>
      <c r="I80" s="57"/>
      <c r="J80" s="57"/>
    </row>
    <row r="81" spans="1:12" x14ac:dyDescent="0.2">
      <c r="A81" s="65"/>
      <c r="B81" s="68"/>
      <c r="C81" s="68" t="s">
        <v>124</v>
      </c>
      <c r="D81" s="57"/>
      <c r="E81" s="57"/>
      <c r="F81" s="57"/>
      <c r="G81" s="57"/>
      <c r="H81" s="57"/>
      <c r="I81" s="57"/>
      <c r="J81" s="57"/>
    </row>
    <row r="82" spans="1:12" x14ac:dyDescent="0.2">
      <c r="A82" s="65"/>
      <c r="B82" s="68"/>
      <c r="C82" s="57"/>
      <c r="D82" s="57"/>
      <c r="E82" s="57"/>
      <c r="F82" s="57"/>
      <c r="G82" s="57"/>
      <c r="H82" s="57"/>
      <c r="I82" s="57"/>
      <c r="J82" s="65" t="s">
        <v>125</v>
      </c>
    </row>
    <row r="83" spans="1:12" x14ac:dyDescent="0.2">
      <c r="A83" s="65"/>
      <c r="B83" s="57"/>
      <c r="C83" s="57"/>
      <c r="D83" s="57"/>
      <c r="E83" s="101" t="s">
        <v>126</v>
      </c>
      <c r="F83" s="102" t="s">
        <v>109</v>
      </c>
      <c r="G83" s="101" t="s">
        <v>127</v>
      </c>
      <c r="H83" s="101" t="s">
        <v>128</v>
      </c>
      <c r="I83" s="57"/>
      <c r="J83" s="101" t="s">
        <v>129</v>
      </c>
    </row>
    <row r="84" spans="1:12" x14ac:dyDescent="0.2">
      <c r="B84" s="103" t="s">
        <v>130</v>
      </c>
      <c r="C84" s="68" t="s">
        <v>131</v>
      </c>
      <c r="D84" s="57"/>
      <c r="E84" s="104">
        <v>9.8000000000000004E-2</v>
      </c>
      <c r="F84" s="57" t="s">
        <v>748</v>
      </c>
      <c r="G84" s="105" t="s">
        <v>479</v>
      </c>
      <c r="H84" s="106" t="s">
        <v>480</v>
      </c>
      <c r="I84" s="68"/>
      <c r="J84" s="107">
        <v>365</v>
      </c>
      <c r="K84" s="68"/>
      <c r="L84" s="68"/>
    </row>
    <row r="85" spans="1:12" x14ac:dyDescent="0.2">
      <c r="B85" s="103" t="s">
        <v>134</v>
      </c>
      <c r="C85" s="68" t="s">
        <v>135</v>
      </c>
      <c r="D85" s="57"/>
      <c r="E85" s="108">
        <v>9.8000000000000004E-2</v>
      </c>
      <c r="F85" s="109" t="s">
        <v>136</v>
      </c>
      <c r="G85" s="105" t="s">
        <v>137</v>
      </c>
      <c r="H85" s="106" t="s">
        <v>137</v>
      </c>
      <c r="I85" s="68"/>
      <c r="J85" s="107">
        <v>0</v>
      </c>
      <c r="K85" s="68"/>
      <c r="L85" s="68"/>
    </row>
    <row r="86" spans="1:12" x14ac:dyDescent="0.2">
      <c r="B86" s="103" t="s">
        <v>138</v>
      </c>
      <c r="C86" s="68"/>
      <c r="D86" s="57"/>
      <c r="E86" s="110"/>
      <c r="F86" s="109"/>
      <c r="G86" s="111"/>
      <c r="H86" s="111"/>
      <c r="I86" s="91" t="s">
        <v>139</v>
      </c>
      <c r="J86" s="68">
        <f>SUM(J84:J85)</f>
        <v>365</v>
      </c>
      <c r="K86" s="68"/>
      <c r="L86" s="68"/>
    </row>
    <row r="87" spans="1:12" x14ac:dyDescent="0.2">
      <c r="A87" s="57"/>
      <c r="B87" s="103" t="s">
        <v>140</v>
      </c>
      <c r="C87" s="68" t="s">
        <v>141</v>
      </c>
      <c r="D87" s="57"/>
      <c r="E87" s="104">
        <f>((E84*J84) + (E85* J85)) / J86</f>
        <v>9.8000000000000004E-2</v>
      </c>
      <c r="F87" s="68" t="s">
        <v>142</v>
      </c>
      <c r="G87" s="57"/>
      <c r="H87" s="68"/>
      <c r="I87" s="68"/>
      <c r="J87" s="68"/>
      <c r="K87" s="68"/>
      <c r="L87" s="68"/>
    </row>
    <row r="88" spans="1:12" x14ac:dyDescent="0.2">
      <c r="A88" s="65"/>
      <c r="B88" s="68"/>
      <c r="C88" s="57"/>
      <c r="D88" s="57"/>
      <c r="E88" s="57"/>
      <c r="F88" s="57"/>
      <c r="G88" s="57"/>
      <c r="H88" s="68"/>
      <c r="I88" s="68"/>
      <c r="J88" s="68"/>
      <c r="K88" s="68"/>
      <c r="L88" s="68"/>
    </row>
    <row r="89" spans="1:12" x14ac:dyDescent="0.2">
      <c r="A89" s="65"/>
      <c r="B89" s="68" t="s">
        <v>143</v>
      </c>
      <c r="C89" s="57"/>
      <c r="D89" s="57"/>
      <c r="E89" s="57"/>
      <c r="F89" s="57"/>
      <c r="G89" s="57"/>
      <c r="H89" s="68"/>
      <c r="I89" s="68"/>
      <c r="J89" s="68"/>
      <c r="K89" s="68"/>
      <c r="L89" s="68"/>
    </row>
    <row r="90" spans="1:12" x14ac:dyDescent="0.2">
      <c r="A90" s="65"/>
      <c r="B90" s="68"/>
      <c r="C90" s="57"/>
      <c r="D90" s="57"/>
      <c r="E90" s="102" t="s">
        <v>109</v>
      </c>
      <c r="F90" s="57"/>
      <c r="G90" s="57"/>
      <c r="H90" s="68"/>
      <c r="I90" s="68"/>
      <c r="J90" s="68"/>
      <c r="K90" s="68"/>
      <c r="L90" s="68"/>
    </row>
    <row r="91" spans="1:12" x14ac:dyDescent="0.2">
      <c r="A91" s="57"/>
      <c r="B91" s="103" t="s">
        <v>144</v>
      </c>
      <c r="C91" s="68" t="s">
        <v>145</v>
      </c>
      <c r="D91" s="57"/>
      <c r="E91" s="112" t="s">
        <v>146</v>
      </c>
      <c r="F91" s="112"/>
      <c r="G91" s="112"/>
      <c r="H91" s="107"/>
      <c r="I91" s="107"/>
      <c r="J91" s="107"/>
      <c r="K91" s="68"/>
      <c r="L91" s="68"/>
    </row>
    <row r="92" spans="1:12" x14ac:dyDescent="0.2">
      <c r="B92" s="103" t="s">
        <v>147</v>
      </c>
      <c r="C92" s="68" t="s">
        <v>148</v>
      </c>
      <c r="D92" s="57"/>
      <c r="E92" s="112" t="s">
        <v>146</v>
      </c>
      <c r="F92" s="112"/>
      <c r="G92" s="112"/>
      <c r="H92" s="107"/>
      <c r="I92" s="107"/>
      <c r="J92" s="107"/>
      <c r="K92" s="68"/>
      <c r="L92" s="68"/>
    </row>
    <row r="93" spans="1:12" x14ac:dyDescent="0.2">
      <c r="B93" s="57"/>
      <c r="C93" s="68"/>
      <c r="D93" s="57"/>
      <c r="E93" s="111"/>
      <c r="F93" s="57"/>
      <c r="G93" s="57"/>
      <c r="H93" s="57"/>
      <c r="I93" s="68"/>
      <c r="J93" s="68"/>
      <c r="K93" s="68"/>
      <c r="L93" s="68"/>
    </row>
    <row r="94" spans="1:12" x14ac:dyDescent="0.2">
      <c r="B94" s="57"/>
      <c r="C94" s="57"/>
      <c r="D94" s="57"/>
      <c r="E94" s="101" t="s">
        <v>126</v>
      </c>
      <c r="F94" s="102" t="s">
        <v>109</v>
      </c>
      <c r="G94" s="57"/>
      <c r="H94" s="68"/>
      <c r="I94" s="68"/>
      <c r="J94" s="57"/>
    </row>
    <row r="95" spans="1:12" x14ac:dyDescent="0.2">
      <c r="B95" s="103" t="s">
        <v>149</v>
      </c>
      <c r="C95" s="68" t="s">
        <v>150</v>
      </c>
      <c r="D95" s="68"/>
      <c r="E95" s="113">
        <v>2.3022562564127422E-2</v>
      </c>
      <c r="F95" s="57" t="s">
        <v>749</v>
      </c>
      <c r="G95" s="57"/>
      <c r="H95" s="68"/>
      <c r="I95" s="68"/>
      <c r="J95" s="57"/>
    </row>
    <row r="96" spans="1:12" x14ac:dyDescent="0.2">
      <c r="B96" s="103" t="s">
        <v>151</v>
      </c>
      <c r="C96" s="68" t="s">
        <v>152</v>
      </c>
      <c r="D96" s="57"/>
      <c r="E96" s="113">
        <v>4.7975125400429143E-3</v>
      </c>
      <c r="F96" s="57" t="s">
        <v>750</v>
      </c>
      <c r="G96" s="57"/>
      <c r="H96" s="68"/>
      <c r="I96" s="68"/>
      <c r="J96" s="57"/>
    </row>
    <row r="97" spans="1:10" x14ac:dyDescent="0.2">
      <c r="B97" s="103" t="s">
        <v>153</v>
      </c>
      <c r="C97" s="68" t="s">
        <v>154</v>
      </c>
      <c r="D97" s="57"/>
      <c r="E97" s="114">
        <v>4.6722103310691751E-2</v>
      </c>
      <c r="F97" s="57" t="s">
        <v>751</v>
      </c>
      <c r="G97" s="68"/>
      <c r="H97" s="68"/>
      <c r="I97" s="57"/>
      <c r="J97" s="57"/>
    </row>
    <row r="98" spans="1:10" x14ac:dyDescent="0.2">
      <c r="A98" s="57"/>
      <c r="B98" s="65" t="s">
        <v>155</v>
      </c>
      <c r="C98" s="70" t="s">
        <v>81</v>
      </c>
      <c r="D98" s="57"/>
      <c r="E98" s="115">
        <f>SUM(E95:E97)</f>
        <v>7.454217841486209E-2</v>
      </c>
      <c r="F98" s="88" t="str">
        <f>"Sum of Lines "&amp;B92&amp;" to "&amp;B96&amp;""</f>
        <v>Sum of Lines f to h</v>
      </c>
      <c r="G98" s="116"/>
      <c r="H98" s="57"/>
      <c r="I98" s="57"/>
      <c r="J98" s="117"/>
    </row>
    <row r="99" spans="1:10" x14ac:dyDescent="0.2">
      <c r="A99" s="65"/>
      <c r="B99" s="57"/>
      <c r="C99" s="118"/>
      <c r="D99" s="119"/>
      <c r="E99" s="88"/>
      <c r="F99" s="88"/>
      <c r="G99" s="116"/>
      <c r="H99" s="88"/>
      <c r="I99" s="57"/>
      <c r="J99" s="117"/>
    </row>
    <row r="100" spans="1:10" x14ac:dyDescent="0.2">
      <c r="A100" s="65"/>
      <c r="B100" s="68" t="s">
        <v>156</v>
      </c>
      <c r="C100" s="57"/>
      <c r="D100" s="57"/>
      <c r="E100" s="57"/>
      <c r="F100" s="57"/>
      <c r="G100" s="57"/>
      <c r="H100" s="57"/>
      <c r="I100" s="57"/>
      <c r="J100" s="57"/>
    </row>
    <row r="101" spans="1:10" x14ac:dyDescent="0.2">
      <c r="A101" s="65"/>
      <c r="B101" s="57"/>
      <c r="C101" s="57"/>
      <c r="D101" s="57"/>
      <c r="E101" s="57"/>
      <c r="F101" s="57"/>
      <c r="G101" s="57"/>
      <c r="H101" s="57"/>
      <c r="I101" s="57"/>
      <c r="J101" s="57"/>
    </row>
    <row r="102" spans="1:10" x14ac:dyDescent="0.2">
      <c r="A102" s="65"/>
      <c r="B102" s="57"/>
      <c r="C102" s="57"/>
      <c r="D102" s="57"/>
      <c r="E102" s="101" t="s">
        <v>126</v>
      </c>
      <c r="F102" s="102" t="s">
        <v>109</v>
      </c>
      <c r="G102" s="57"/>
      <c r="H102" s="57"/>
      <c r="I102" s="57"/>
      <c r="J102" s="57"/>
    </row>
    <row r="103" spans="1:10" x14ac:dyDescent="0.2">
      <c r="A103" s="57"/>
      <c r="B103" s="103" t="s">
        <v>157</v>
      </c>
      <c r="C103" s="57"/>
      <c r="D103" s="57"/>
      <c r="E103" s="113">
        <f>E96+E97</f>
        <v>5.1519615850734668E-2</v>
      </c>
      <c r="F103" s="88" t="str">
        <f>"Sum of Lines "&amp;B95&amp;" to "&amp;B96&amp;""</f>
        <v>Sum of Lines g to h</v>
      </c>
      <c r="G103" s="57"/>
      <c r="H103" s="57"/>
      <c r="I103" s="57"/>
      <c r="J103" s="57"/>
    </row>
    <row r="104" spans="1:10" x14ac:dyDescent="0.2">
      <c r="A104" s="65"/>
      <c r="B104" s="57"/>
      <c r="C104" s="57"/>
      <c r="D104" s="57"/>
      <c r="E104" s="113"/>
      <c r="F104" s="88"/>
      <c r="G104" s="57"/>
      <c r="H104" s="57"/>
      <c r="I104" s="57"/>
      <c r="J104" s="57"/>
    </row>
    <row r="105" spans="1:10" x14ac:dyDescent="0.2">
      <c r="A105" s="65"/>
      <c r="B105" s="66" t="s">
        <v>158</v>
      </c>
      <c r="C105" s="57"/>
      <c r="D105" s="57"/>
      <c r="E105" s="116"/>
      <c r="F105" s="116"/>
      <c r="G105" s="116"/>
      <c r="H105" s="88"/>
      <c r="I105" s="57"/>
      <c r="J105" s="57"/>
    </row>
    <row r="106" spans="1:10" x14ac:dyDescent="0.2">
      <c r="A106" s="65"/>
      <c r="B106" s="109" t="s">
        <v>159</v>
      </c>
      <c r="C106" s="57"/>
      <c r="D106" s="57"/>
      <c r="E106" s="57"/>
      <c r="F106" s="57"/>
      <c r="G106" s="57"/>
      <c r="H106" s="57"/>
      <c r="I106" s="57"/>
      <c r="J106" s="57"/>
    </row>
    <row r="107" spans="1:10" x14ac:dyDescent="0.2">
      <c r="A107" s="60"/>
      <c r="B107" s="109" t="s">
        <v>160</v>
      </c>
      <c r="C107" s="57"/>
      <c r="D107" s="65"/>
      <c r="E107" s="65"/>
      <c r="F107" s="65"/>
      <c r="G107" s="65"/>
      <c r="H107" s="65"/>
      <c r="I107" s="57"/>
      <c r="J107" s="57"/>
    </row>
    <row r="108" spans="1:10" x14ac:dyDescent="0.2">
      <c r="A108" s="60"/>
      <c r="B108" s="66" t="s">
        <v>161</v>
      </c>
      <c r="C108" s="57"/>
      <c r="D108" s="65"/>
      <c r="E108" s="65"/>
      <c r="F108" s="65"/>
      <c r="G108" s="65"/>
      <c r="H108" s="65"/>
      <c r="I108" s="57"/>
      <c r="J108" s="57"/>
    </row>
    <row r="109" spans="1:10" x14ac:dyDescent="0.2">
      <c r="A109" s="60"/>
      <c r="B109" s="57" t="s">
        <v>162</v>
      </c>
      <c r="C109" s="120"/>
      <c r="D109" s="120"/>
      <c r="E109" s="101"/>
      <c r="F109" s="101"/>
      <c r="G109" s="101"/>
      <c r="H109" s="101"/>
      <c r="I109" s="57"/>
      <c r="J109" s="57"/>
    </row>
    <row r="110" spans="1:10" x14ac:dyDescent="0.2">
      <c r="A110" s="60"/>
    </row>
    <row r="111" spans="1:10" x14ac:dyDescent="0.2">
      <c r="A111" s="60"/>
    </row>
    <row r="112" spans="1:10" x14ac:dyDescent="0.2">
      <c r="A112" s="60"/>
    </row>
    <row r="113" spans="1:10" x14ac:dyDescent="0.2">
      <c r="A113" s="60"/>
      <c r="C113" s="118"/>
      <c r="E113" s="88"/>
      <c r="F113" s="88"/>
      <c r="H113" s="121"/>
      <c r="J113" s="122"/>
    </row>
    <row r="114" spans="1:10" x14ac:dyDescent="0.2">
      <c r="A114" s="60"/>
      <c r="C114" s="118"/>
      <c r="E114" s="88"/>
      <c r="F114" s="88"/>
      <c r="H114" s="121"/>
      <c r="J114" s="122"/>
    </row>
    <row r="115" spans="1:10" x14ac:dyDescent="0.2">
      <c r="A115" s="61"/>
      <c r="C115" s="118"/>
      <c r="E115" s="88"/>
      <c r="F115" s="88"/>
      <c r="H115" s="121"/>
      <c r="J115" s="122"/>
    </row>
    <row r="116" spans="1:10" x14ac:dyDescent="0.2">
      <c r="A116" s="60"/>
      <c r="D116" s="123"/>
      <c r="E116" s="88"/>
      <c r="F116" s="88"/>
      <c r="G116" s="124"/>
      <c r="H116" s="121"/>
      <c r="J116" s="122"/>
    </row>
    <row r="117" spans="1:10" x14ac:dyDescent="0.2">
      <c r="A117" s="60"/>
      <c r="C117" s="118"/>
      <c r="D117" s="125"/>
      <c r="E117" s="126"/>
      <c r="F117" s="121"/>
      <c r="G117" s="124"/>
      <c r="H117" s="121"/>
      <c r="J117" s="122"/>
    </row>
    <row r="118" spans="1:10" x14ac:dyDescent="0.2">
      <c r="A118" s="60"/>
      <c r="C118" s="118"/>
      <c r="D118" s="125"/>
      <c r="E118" s="121"/>
      <c r="F118" s="121"/>
      <c r="G118" s="124"/>
      <c r="H118" s="121"/>
      <c r="J118" s="122"/>
    </row>
    <row r="119" spans="1:10" x14ac:dyDescent="0.2">
      <c r="A119" s="60"/>
    </row>
    <row r="120" spans="1:10" x14ac:dyDescent="0.2">
      <c r="A120" s="60"/>
      <c r="B120" s="56"/>
    </row>
    <row r="121" spans="1:10" x14ac:dyDescent="0.2">
      <c r="A121" s="60"/>
    </row>
    <row r="122" spans="1:10" x14ac:dyDescent="0.2">
      <c r="A122" s="60"/>
    </row>
    <row r="123" spans="1:10" x14ac:dyDescent="0.2">
      <c r="A123" s="60"/>
      <c r="F123" s="60"/>
    </row>
    <row r="124" spans="1:10" x14ac:dyDescent="0.2">
      <c r="A124" s="60"/>
      <c r="F124" s="60"/>
    </row>
    <row r="125" spans="1:10" x14ac:dyDescent="0.2">
      <c r="A125" s="60"/>
      <c r="D125" s="60"/>
      <c r="E125" s="60"/>
      <c r="F125" s="60"/>
      <c r="H125" s="60"/>
    </row>
    <row r="126" spans="1:10" x14ac:dyDescent="0.2">
      <c r="A126" s="60"/>
      <c r="D126" s="60"/>
      <c r="E126" s="60"/>
      <c r="F126" s="60"/>
      <c r="G126" s="60"/>
      <c r="H126" s="127"/>
    </row>
    <row r="127" spans="1:10" x14ac:dyDescent="0.2">
      <c r="A127" s="61"/>
      <c r="C127" s="128"/>
      <c r="D127" s="128"/>
      <c r="E127" s="64"/>
      <c r="F127" s="129"/>
      <c r="G127" s="64"/>
      <c r="H127" s="127"/>
    </row>
    <row r="128" spans="1:10" x14ac:dyDescent="0.2">
      <c r="A128" s="60"/>
      <c r="C128" s="130"/>
      <c r="D128" s="119"/>
      <c r="E128" s="88"/>
      <c r="F128" s="88"/>
      <c r="G128" s="104"/>
      <c r="H128" s="121"/>
    </row>
    <row r="129" spans="1:8" x14ac:dyDescent="0.2">
      <c r="A129" s="60"/>
      <c r="C129" s="118"/>
      <c r="D129" s="119"/>
      <c r="E129" s="88"/>
      <c r="F129" s="88"/>
      <c r="G129" s="104"/>
      <c r="H129" s="121"/>
    </row>
    <row r="130" spans="1:8" x14ac:dyDescent="0.2">
      <c r="A130" s="60"/>
      <c r="C130" s="118"/>
      <c r="D130" s="119"/>
      <c r="E130" s="88"/>
      <c r="F130" s="88"/>
      <c r="G130" s="104"/>
      <c r="H130" s="121"/>
    </row>
    <row r="131" spans="1:8" x14ac:dyDescent="0.2">
      <c r="A131" s="60"/>
      <c r="C131" s="130"/>
      <c r="D131" s="119"/>
      <c r="E131" s="88"/>
      <c r="F131" s="88"/>
      <c r="G131" s="104"/>
      <c r="H131" s="121"/>
    </row>
    <row r="132" spans="1:8" x14ac:dyDescent="0.2">
      <c r="A132" s="60"/>
      <c r="C132" s="118"/>
      <c r="D132" s="119"/>
      <c r="E132" s="88"/>
      <c r="F132" s="88"/>
      <c r="G132" s="104"/>
      <c r="H132" s="121"/>
    </row>
    <row r="133" spans="1:8" x14ac:dyDescent="0.2">
      <c r="A133" s="60"/>
      <c r="C133" s="118"/>
      <c r="D133" s="119"/>
      <c r="E133" s="88"/>
      <c r="F133" s="88"/>
      <c r="G133" s="104"/>
      <c r="H133" s="121"/>
    </row>
    <row r="134" spans="1:8" x14ac:dyDescent="0.2">
      <c r="A134" s="60"/>
      <c r="C134" s="130"/>
      <c r="D134" s="119"/>
      <c r="E134" s="88"/>
      <c r="F134" s="88"/>
      <c r="G134" s="104"/>
      <c r="H134" s="121"/>
    </row>
    <row r="135" spans="1:8" x14ac:dyDescent="0.2">
      <c r="A135" s="60"/>
      <c r="C135" s="118"/>
      <c r="D135" s="119"/>
      <c r="E135" s="88"/>
      <c r="F135" s="88"/>
      <c r="G135" s="104"/>
      <c r="H135" s="121"/>
    </row>
    <row r="136" spans="1:8" x14ac:dyDescent="0.2">
      <c r="A136" s="60"/>
      <c r="C136" s="118"/>
      <c r="D136" s="119"/>
      <c r="E136" s="88"/>
      <c r="F136" s="88"/>
      <c r="G136" s="104"/>
      <c r="H136" s="121"/>
    </row>
    <row r="137" spans="1:8" x14ac:dyDescent="0.2">
      <c r="A137" s="60"/>
      <c r="C137" s="130"/>
      <c r="D137" s="119"/>
      <c r="E137" s="88"/>
      <c r="F137" s="88"/>
      <c r="G137" s="104"/>
      <c r="H137" s="121"/>
    </row>
    <row r="138" spans="1:8" x14ac:dyDescent="0.2">
      <c r="A138" s="60"/>
      <c r="C138" s="130"/>
      <c r="D138" s="119"/>
      <c r="E138" s="88"/>
      <c r="F138" s="88"/>
      <c r="G138" s="104"/>
      <c r="H138" s="121"/>
    </row>
    <row r="139" spans="1:8" x14ac:dyDescent="0.2">
      <c r="A139" s="60"/>
      <c r="C139" s="118"/>
      <c r="D139" s="119"/>
      <c r="E139" s="88"/>
      <c r="F139" s="88"/>
      <c r="G139" s="104"/>
      <c r="H139" s="126"/>
    </row>
    <row r="140" spans="1:8" x14ac:dyDescent="0.2">
      <c r="A140" s="60"/>
      <c r="E140" s="57"/>
      <c r="F140" s="57"/>
      <c r="G140" s="57"/>
      <c r="H140" s="121"/>
    </row>
    <row r="141" spans="1:8" x14ac:dyDescent="0.2">
      <c r="A141" s="60"/>
      <c r="C141" s="118"/>
      <c r="D141" s="119"/>
      <c r="E141" s="57"/>
      <c r="F141" s="131"/>
      <c r="G141" s="104"/>
      <c r="H141" s="132"/>
    </row>
    <row r="142" spans="1:8" x14ac:dyDescent="0.2">
      <c r="A142" s="60"/>
      <c r="B142" s="56"/>
      <c r="C142" s="118"/>
      <c r="D142" s="119"/>
      <c r="E142" s="57"/>
      <c r="F142" s="131"/>
      <c r="G142" s="104"/>
      <c r="H142" s="132"/>
    </row>
    <row r="143" spans="1:8" x14ac:dyDescent="0.2">
      <c r="A143" s="61"/>
      <c r="B143" s="56"/>
      <c r="C143" s="118"/>
      <c r="D143" s="119"/>
      <c r="E143" s="57"/>
      <c r="F143" s="131"/>
      <c r="G143" s="104"/>
      <c r="H143" s="132"/>
    </row>
    <row r="144" spans="1:8" x14ac:dyDescent="0.2">
      <c r="A144" s="60"/>
      <c r="C144" s="118"/>
      <c r="D144" s="133"/>
      <c r="E144" s="88"/>
      <c r="F144" s="134"/>
      <c r="G144" s="104"/>
      <c r="H144" s="132"/>
    </row>
    <row r="145" spans="1:10" x14ac:dyDescent="0.2">
      <c r="A145" s="60"/>
      <c r="C145" s="118"/>
      <c r="D145" s="135"/>
      <c r="E145" s="88"/>
      <c r="F145" s="134"/>
      <c r="G145" s="104"/>
      <c r="H145" s="132"/>
    </row>
    <row r="146" spans="1:10" x14ac:dyDescent="0.2">
      <c r="A146" s="60"/>
      <c r="C146" s="118"/>
      <c r="D146" s="135"/>
      <c r="E146" s="126"/>
      <c r="F146" s="136"/>
      <c r="G146" s="104"/>
      <c r="H146" s="132"/>
    </row>
    <row r="147" spans="1:10" x14ac:dyDescent="0.2">
      <c r="A147" s="60"/>
      <c r="C147" s="118"/>
      <c r="D147" s="133"/>
      <c r="E147" s="121"/>
      <c r="F147" s="132"/>
      <c r="G147" s="104"/>
      <c r="H147" s="132"/>
    </row>
    <row r="148" spans="1:10" x14ac:dyDescent="0.2">
      <c r="A148" s="60"/>
      <c r="C148" s="118"/>
      <c r="D148" s="119"/>
      <c r="F148" s="132"/>
      <c r="G148" s="104"/>
      <c r="H148" s="132"/>
    </row>
    <row r="149" spans="1:10" x14ac:dyDescent="0.2">
      <c r="A149" s="60"/>
    </row>
    <row r="150" spans="1:10" x14ac:dyDescent="0.2">
      <c r="A150" s="60"/>
    </row>
    <row r="151" spans="1:10" x14ac:dyDescent="0.2">
      <c r="A151" s="60"/>
    </row>
    <row r="152" spans="1:10" x14ac:dyDescent="0.2">
      <c r="A152" s="60"/>
      <c r="B152" s="56"/>
    </row>
    <row r="153" spans="1:10" x14ac:dyDescent="0.2">
      <c r="A153" s="60"/>
      <c r="B153" s="124"/>
    </row>
    <row r="154" spans="1:10" x14ac:dyDescent="0.2">
      <c r="A154" s="60"/>
      <c r="B154" s="124"/>
    </row>
    <row r="155" spans="1:10" x14ac:dyDescent="0.2">
      <c r="A155" s="60"/>
      <c r="B155" s="124"/>
    </row>
    <row r="156" spans="1:10" x14ac:dyDescent="0.2">
      <c r="A156" s="60"/>
    </row>
    <row r="157" spans="1:10" x14ac:dyDescent="0.2">
      <c r="A157" s="60"/>
      <c r="B157" s="56"/>
    </row>
    <row r="158" spans="1:10" x14ac:dyDescent="0.2">
      <c r="A158" s="60"/>
    </row>
    <row r="159" spans="1:10" x14ac:dyDescent="0.2">
      <c r="A159" s="61"/>
      <c r="C159" s="128"/>
      <c r="D159" s="64"/>
      <c r="G159" s="57"/>
      <c r="H159" s="57"/>
      <c r="I159" s="57"/>
      <c r="J159" s="57"/>
    </row>
    <row r="160" spans="1:10" x14ac:dyDescent="0.2">
      <c r="A160" s="60"/>
      <c r="C160" s="130"/>
      <c r="D160" s="137"/>
      <c r="F160" s="138"/>
      <c r="G160" s="57"/>
      <c r="H160" s="57"/>
      <c r="I160" s="57"/>
      <c r="J160" s="57"/>
    </row>
    <row r="161" spans="1:10" x14ac:dyDescent="0.2">
      <c r="A161" s="60"/>
      <c r="C161" s="118"/>
      <c r="D161" s="137"/>
      <c r="F161" s="138"/>
      <c r="G161" s="57"/>
      <c r="H161" s="57"/>
      <c r="I161" s="57"/>
      <c r="J161" s="57"/>
    </row>
    <row r="162" spans="1:10" x14ac:dyDescent="0.2">
      <c r="A162" s="60"/>
      <c r="C162" s="118"/>
      <c r="D162" s="137"/>
      <c r="F162" s="138"/>
      <c r="G162" s="57"/>
      <c r="H162" s="57"/>
      <c r="I162" s="57"/>
      <c r="J162" s="57"/>
    </row>
    <row r="163" spans="1:10" x14ac:dyDescent="0.2">
      <c r="A163" s="60"/>
      <c r="C163" s="130"/>
      <c r="D163" s="137"/>
      <c r="F163" s="138"/>
      <c r="G163" s="57"/>
      <c r="H163" s="57"/>
      <c r="I163" s="57"/>
      <c r="J163" s="57"/>
    </row>
    <row r="164" spans="1:10" x14ac:dyDescent="0.2">
      <c r="A164" s="60"/>
      <c r="C164" s="118"/>
      <c r="D164" s="137"/>
      <c r="F164" s="138"/>
      <c r="G164" s="57"/>
      <c r="H164" s="57"/>
      <c r="I164" s="57"/>
      <c r="J164" s="57"/>
    </row>
    <row r="165" spans="1:10" x14ac:dyDescent="0.2">
      <c r="A165" s="60"/>
      <c r="C165" s="118"/>
      <c r="D165" s="137"/>
      <c r="F165" s="138"/>
      <c r="G165" s="57"/>
      <c r="H165" s="57"/>
      <c r="I165" s="57"/>
      <c r="J165" s="57"/>
    </row>
    <row r="166" spans="1:10" x14ac:dyDescent="0.2">
      <c r="A166" s="60"/>
      <c r="C166" s="130"/>
      <c r="D166" s="137"/>
      <c r="F166" s="138"/>
      <c r="G166" s="57"/>
      <c r="H166" s="57"/>
      <c r="I166" s="57"/>
      <c r="J166" s="57"/>
    </row>
    <row r="167" spans="1:10" x14ac:dyDescent="0.2">
      <c r="A167" s="60"/>
      <c r="C167" s="118"/>
      <c r="D167" s="137"/>
      <c r="F167" s="138"/>
      <c r="G167" s="57"/>
      <c r="H167" s="57"/>
      <c r="I167" s="57"/>
      <c r="J167" s="57"/>
    </row>
    <row r="168" spans="1:10" x14ac:dyDescent="0.2">
      <c r="A168" s="60"/>
      <c r="C168" s="118"/>
      <c r="D168" s="137"/>
      <c r="F168" s="138"/>
      <c r="G168" s="57"/>
      <c r="H168" s="57"/>
      <c r="I168" s="57"/>
      <c r="J168" s="57"/>
    </row>
    <row r="169" spans="1:10" x14ac:dyDescent="0.2">
      <c r="A169" s="60"/>
      <c r="C169" s="130"/>
      <c r="D169" s="137"/>
      <c r="F169" s="138"/>
      <c r="G169" s="57"/>
      <c r="H169" s="57"/>
      <c r="I169" s="57"/>
      <c r="J169" s="57"/>
    </row>
    <row r="170" spans="1:10" x14ac:dyDescent="0.2">
      <c r="A170" s="60"/>
      <c r="C170" s="130"/>
      <c r="D170" s="137"/>
      <c r="F170" s="138"/>
    </row>
    <row r="171" spans="1:10" x14ac:dyDescent="0.2">
      <c r="A171" s="60"/>
      <c r="C171" s="118"/>
      <c r="D171" s="139"/>
      <c r="F171" s="140"/>
    </row>
    <row r="172" spans="1:10" x14ac:dyDescent="0.2">
      <c r="A172" s="60"/>
      <c r="C172" s="123"/>
      <c r="D172" s="137"/>
    </row>
  </sheetData>
  <pageMargins left="0.75" right="0.75" top="1" bottom="1" header="0.5" footer="0.5"/>
  <pageSetup scale="80" orientation="landscape" cellComments="asDisplayed" r:id="rId1"/>
  <headerFooter alignWithMargins="0">
    <oddHeader>&amp;CSchedule 4
True Up TRR
(Revised 2013 True Up TRR)
&amp;RTO10 Draft Annual Update
Attachment 4
WP-Schedule 3-One Time Adj &amp; True Up Adj
Page &amp;P of &amp;N</oddHeader>
    <oddFooter>&amp;R&amp;A</oddFooter>
  </headerFooter>
  <rowBreaks count="4" manualBreakCount="4">
    <brk id="46" max="9" man="1"/>
    <brk id="73" max="16383" man="1"/>
    <brk id="119" max="9" man="1"/>
    <brk id="1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One Time Adj Explanation</vt:lpstr>
      <vt:lpstr>WP-Total Adj with Int</vt:lpstr>
      <vt:lpstr>WP-2012 True Up TRR Adj</vt:lpstr>
      <vt:lpstr>WP-2012 Sch 4-TUTRR</vt:lpstr>
      <vt:lpstr>WP-2012 Sch 9-ADIT</vt:lpstr>
      <vt:lpstr>WP-2012 Sch 10-CWIP</vt:lpstr>
      <vt:lpstr>WP-2012 Sch 16-PlantAdditions</vt:lpstr>
      <vt:lpstr>WP-2013 True Up TRR Adj</vt:lpstr>
      <vt:lpstr>WP-2013 Sch 4-TUTRR</vt:lpstr>
      <vt:lpstr>WP-2013 Sch 6-PlantInService</vt:lpstr>
      <vt:lpstr>WP-2013 Sch 8-AccDep</vt:lpstr>
      <vt:lpstr>WP-2013 Sch 9-ADIT</vt:lpstr>
      <vt:lpstr>WP-2013 Sch 10-CWIP</vt:lpstr>
      <vt:lpstr>WP-2013 Sch 14-IncentivePlant</vt:lpstr>
      <vt:lpstr>WP-2013 Sch 16-PlantAdditions</vt:lpstr>
      <vt:lpstr>'WP-2012 Sch 10-CWIP'!Print_Area</vt:lpstr>
      <vt:lpstr>'WP-2012 Sch 16-PlantAdditions'!Print_Area</vt:lpstr>
      <vt:lpstr>'WP-2012 Sch 4-TUTRR'!Print_Area</vt:lpstr>
      <vt:lpstr>'WP-2012 Sch 9-ADIT'!Print_Area</vt:lpstr>
      <vt:lpstr>'WP-2012 True Up TRR Adj'!Print_Area</vt:lpstr>
      <vt:lpstr>'WP-2013 Sch 10-CWIP'!Print_Area</vt:lpstr>
      <vt:lpstr>'WP-2013 Sch 14-IncentivePlant'!Print_Area</vt:lpstr>
      <vt:lpstr>'WP-2013 Sch 16-PlantAdditions'!Print_Area</vt:lpstr>
      <vt:lpstr>'WP-2013 Sch 4-TUTRR'!Print_Area</vt:lpstr>
      <vt:lpstr>'WP-2013 Sch 6-PlantInService'!Print_Area</vt:lpstr>
      <vt:lpstr>'WP-2013 Sch 8-AccDep'!Print_Area</vt:lpstr>
      <vt:lpstr>'WP-2013 Sch 9-ADIT'!Print_Area</vt:lpstr>
      <vt:lpstr>'WP-2013 True Up TRR Adj'!Print_Area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2015-06-10T20:19:53Z</cp:lastPrinted>
  <dcterms:created xsi:type="dcterms:W3CDTF">2009-02-27T16:01:11Z</dcterms:created>
  <dcterms:modified xsi:type="dcterms:W3CDTF">2015-06-10T20:21:04Z</dcterms:modified>
</cp:coreProperties>
</file>