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8 FERC Rate Case TO2018a Tax Update\Tariff Clean and Redline\"/>
    </mc:Choice>
  </mc:AlternateContent>
  <bookViews>
    <workbookView xWindow="-120" yWindow="-48" windowWidth="13560" windowHeight="1191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5-ROR-3" sheetId="81" r:id="rId10"/>
    <sheet name="5-ROR-4" sheetId="80" r:id="rId11"/>
    <sheet name="6-PlantInService" sheetId="4" r:id="rId12"/>
    <sheet name="7-PlantStudy" sheetId="56" r:id="rId13"/>
    <sheet name="8-AccDep" sheetId="21" r:id="rId14"/>
    <sheet name="9-ADIT" sheetId="15" r:id="rId15"/>
    <sheet name="10-CWIP" sheetId="49" r:id="rId16"/>
    <sheet name="11-PHFU" sheetId="54" r:id="rId17"/>
    <sheet name="12-AbandonedPlant" sheetId="45" r:id="rId18"/>
    <sheet name="13-WorkCap" sheetId="22" r:id="rId19"/>
    <sheet name="14-IncentivePlant" sheetId="11" r:id="rId20"/>
    <sheet name="15-IncentiveAdder" sheetId="12" r:id="rId21"/>
    <sheet name="16-PlantAdditions" sheetId="48" r:id="rId22"/>
    <sheet name="17-Depreciation" sheetId="64" r:id="rId23"/>
    <sheet name="18-DepRates" sheetId="63" r:id="rId24"/>
    <sheet name="19-OandM" sheetId="46" r:id="rId25"/>
    <sheet name="20-AandG" sheetId="26" r:id="rId26"/>
    <sheet name="21-RevenueCredits" sheetId="61" r:id="rId27"/>
    <sheet name="22-NUCs" sheetId="66" r:id="rId28"/>
    <sheet name="23-RegAssets" sheetId="55" r:id="rId29"/>
    <sheet name="24-CWIPTRR" sheetId="71" r:id="rId30"/>
    <sheet name="25-WholesaleDifference" sheetId="44" r:id="rId31"/>
    <sheet name="26-TaxRates" sheetId="17" r:id="rId32"/>
    <sheet name="27-Allocators" sheetId="2" r:id="rId33"/>
    <sheet name="28-FFU" sheetId="30" r:id="rId34"/>
    <sheet name="29-WholesaleTRRs" sheetId="31" r:id="rId35"/>
    <sheet name="30-WholesaleRates" sheetId="32" r:id="rId36"/>
    <sheet name="31-HVLV" sheetId="57" r:id="rId37"/>
    <sheet name="32-GrossLoad" sheetId="42" r:id="rId38"/>
    <sheet name="33-RetailRates" sheetId="53" r:id="rId39"/>
    <sheet name="34-UnfundedReserves" sheetId="79" r:id="rId40"/>
  </sheets>
  <definedNames>
    <definedName name="_xlnm._FilterDatabase" localSheetId="26" hidden="1">'21-RevenueCredits'!$A$1:$O$223</definedName>
    <definedName name="_xlnm.Print_Area" localSheetId="15">'10-CWIP'!$A$1:$K$412</definedName>
    <definedName name="_xlnm.Print_Area" localSheetId="16">'11-PHFU'!$A$1:$F$61</definedName>
    <definedName name="_xlnm.Print_Area" localSheetId="17">'12-AbandonedPlant'!$A$1:$J$56</definedName>
    <definedName name="_xlnm.Print_Area" localSheetId="18">'13-WorkCap'!$A$1:$G$69</definedName>
    <definedName name="_xlnm.Print_Area" localSheetId="19">'14-IncentivePlant'!$A$1:$J$372</definedName>
    <definedName name="_xlnm.Print_Area" localSheetId="20">'15-IncentiveAdder'!$A$1:$J$112</definedName>
    <definedName name="_xlnm.Print_Area" localSheetId="21">'16-PlantAdditions'!$A$1:$P$137</definedName>
    <definedName name="_xlnm.Print_Area" localSheetId="22">'17-Depreciation'!$A$1:$M$105</definedName>
    <definedName name="_xlnm.Print_Area" localSheetId="23">'18-DepRates'!$A$1:$G$66</definedName>
    <definedName name="_xlnm.Print_Area" localSheetId="24">'19-OandM'!$A$1:$L$168</definedName>
    <definedName name="_xlnm.Print_Area" localSheetId="3">'1-BaseTRR'!$A$1:$K$169</definedName>
    <definedName name="_xlnm.Print_Area" localSheetId="25">'20-AandG'!$A$1:$J$103</definedName>
    <definedName name="_xlnm.Print_Area" localSheetId="26">'21-RevenueCredits'!$A$1:$O$227</definedName>
    <definedName name="_xlnm.Print_Area" localSheetId="27">'22-NUCs'!$A$1:$F$27</definedName>
    <definedName name="_xlnm.Print_Area" localSheetId="28">'23-RegAssets'!$A$1:$I$37</definedName>
    <definedName name="_xlnm.Print_Area" localSheetId="29">'24-CWIPTRR'!$A$1:$J$195</definedName>
    <definedName name="_xlnm.Print_Area" localSheetId="30">'25-WholesaleDifference'!$A$1:$J$103</definedName>
    <definedName name="_xlnm.Print_Area" localSheetId="31">'26-TaxRates'!$A$1:$F$40</definedName>
    <definedName name="_xlnm.Print_Area" localSheetId="32">'27-Allocators'!$A$1:$K$54</definedName>
    <definedName name="_xlnm.Print_Area" localSheetId="33">'28-FFU'!$A$1:$J$46</definedName>
    <definedName name="_xlnm.Print_Area" localSheetId="34">'29-WholesaleTRRs'!$A$1:$I$41</definedName>
    <definedName name="_xlnm.Print_Area" localSheetId="4">'2-IFPTRR'!$A$1:$G$91</definedName>
    <definedName name="_xlnm.Print_Area" localSheetId="35">'30-WholesaleRates'!$A$1:$J$33</definedName>
    <definedName name="_xlnm.Print_Area" localSheetId="36">'31-HVLV'!$A$1:$L$51</definedName>
    <definedName name="_xlnm.Print_Area" localSheetId="37">'32-GrossLoad'!$A$1:$I$19</definedName>
    <definedName name="_xlnm.Print_Area" localSheetId="38">'33-RetailRates'!$A$1:$P$128</definedName>
    <definedName name="_xlnm.Print_Area" localSheetId="39">'34-UnfundedReserves'!$A$1:$K$39</definedName>
    <definedName name="_xlnm.Print_Area" localSheetId="5">'3-TrueUpAdjust'!$A$1:$L$133</definedName>
    <definedName name="_xlnm.Print_Area" localSheetId="6">'4-TUTRR'!$A$1:$J$108</definedName>
    <definedName name="_xlnm.Print_Area" localSheetId="7">'5-ROR-1'!$A$1:$L$40</definedName>
    <definedName name="_xlnm.Print_Area" localSheetId="8">'5-ROR-2'!$A$1:$P$60</definedName>
    <definedName name="_xlnm.Print_Area" localSheetId="9">'5-ROR-3'!$A$1:$L$191</definedName>
    <definedName name="_xlnm.Print_Area" localSheetId="10">'5-ROR-4'!$A$1:$L$69</definedName>
    <definedName name="_xlnm.Print_Area" localSheetId="11">'6-PlantInService'!$A$1:$M$234</definedName>
    <definedName name="_xlnm.Print_Area" localSheetId="12">'7-PlantStudy'!$A$1:$G$54</definedName>
    <definedName name="_xlnm.Print_Area" localSheetId="13">'8-AccDep'!$A$1:$N$153</definedName>
    <definedName name="_xlnm.Print_Area" localSheetId="14">'9-ADIT'!$A$1:$J$336</definedName>
    <definedName name="_xlnm.Print_Area" localSheetId="1">Contents!$A$1:$D$38</definedName>
    <definedName name="_xlnm.Print_Area" localSheetId="2">Overview!$A$1:$I$24</definedName>
    <definedName name="_xlnm.Print_Titles" localSheetId="3">'1-BaseTRR'!$1:$6</definedName>
    <definedName name="_xlnm.Print_Titles" localSheetId="26">'21-RevenueCredits'!$1:$3</definedName>
  </definedNames>
  <calcPr calcId="152511" calcMode="manual"/>
</workbook>
</file>

<file path=xl/calcChain.xml><?xml version="1.0" encoding="utf-8"?>
<calcChain xmlns="http://schemas.openxmlformats.org/spreadsheetml/2006/main">
  <c r="G54" i="22" l="1"/>
  <c r="G50" i="22"/>
  <c r="G24" i="22"/>
  <c r="F6" i="81" l="1"/>
  <c r="I65" i="1" l="1"/>
  <c r="J31" i="28" l="1"/>
  <c r="A16" i="72" l="1"/>
  <c r="A18" i="72" s="1"/>
  <c r="A20" i="72" s="1"/>
  <c r="A22" i="72" s="1"/>
  <c r="A24" i="72" s="1"/>
  <c r="A26" i="72" s="1"/>
  <c r="A59" i="80" l="1"/>
  <c r="A60" i="80" s="1"/>
  <c r="A61" i="80" s="1"/>
  <c r="A62" i="80" s="1"/>
  <c r="A63" i="80" s="1"/>
  <c r="A64" i="80" s="1"/>
  <c r="A65" i="80" s="1"/>
  <c r="A66" i="80" s="1"/>
  <c r="A67" i="80" s="1"/>
  <c r="A68" i="80" s="1"/>
  <c r="A69" i="80" s="1"/>
  <c r="A41" i="80"/>
  <c r="A42" i="80" s="1"/>
  <c r="A43" i="80" s="1"/>
  <c r="A44" i="80" s="1"/>
  <c r="A45" i="80" s="1"/>
  <c r="A46" i="80" s="1"/>
  <c r="A47" i="80" s="1"/>
  <c r="A48" i="80" s="1"/>
  <c r="A49" i="80" s="1"/>
  <c r="A50" i="80" s="1"/>
  <c r="A23" i="80"/>
  <c r="A24" i="80" s="1"/>
  <c r="A25" i="80" s="1"/>
  <c r="A26" i="80" s="1"/>
  <c r="A27" i="80" s="1"/>
  <c r="A28" i="80" s="1"/>
  <c r="A29" i="80" s="1"/>
  <c r="A30" i="80" s="1"/>
  <c r="A31" i="80" s="1"/>
  <c r="A32" i="80" s="1"/>
  <c r="A33" i="80" s="1"/>
  <c r="F6" i="80" s="1"/>
  <c r="A7" i="80"/>
  <c r="A8" i="80" s="1"/>
  <c r="A9" i="80" s="1"/>
  <c r="A10" i="80" s="1"/>
  <c r="A11" i="80" s="1"/>
  <c r="A12" i="80" s="1"/>
  <c r="A13" i="80" s="1"/>
  <c r="A14" i="80" s="1"/>
  <c r="I70" i="1" s="1"/>
  <c r="A131" i="81"/>
  <c r="A132" i="81" s="1"/>
  <c r="A133" i="81" s="1"/>
  <c r="A134" i="81" s="1"/>
  <c r="A135" i="81" s="1"/>
  <c r="A136" i="81" s="1"/>
  <c r="A137" i="81" s="1"/>
  <c r="A138" i="81" s="1"/>
  <c r="A139" i="81" s="1"/>
  <c r="A140" i="81" s="1"/>
  <c r="A141" i="81" s="1"/>
  <c r="A142" i="81" s="1"/>
  <c r="A143" i="81" s="1"/>
  <c r="A144" i="81" s="1"/>
  <c r="A145" i="81" s="1"/>
  <c r="A146" i="81" s="1"/>
  <c r="A147" i="81" s="1"/>
  <c r="A148" i="81" s="1"/>
  <c r="A149" i="81" s="1"/>
  <c r="A150" i="81" s="1"/>
  <c r="A151" i="81" s="1"/>
  <c r="A152" i="81" s="1"/>
  <c r="A153" i="81" s="1"/>
  <c r="A154" i="81" s="1"/>
  <c r="A155" i="81" s="1"/>
  <c r="A156" i="81" s="1"/>
  <c r="A157" i="81" s="1"/>
  <c r="A158" i="81" s="1"/>
  <c r="A159" i="81" s="1"/>
  <c r="A160" i="81" s="1"/>
  <c r="A161" i="81" s="1"/>
  <c r="A162" i="81" s="1"/>
  <c r="A163" i="81" s="1"/>
  <c r="A164" i="81" s="1"/>
  <c r="A165" i="81" s="1"/>
  <c r="A166" i="81" s="1"/>
  <c r="A167" i="81" s="1"/>
  <c r="A173" i="81" s="1"/>
  <c r="A174" i="81" s="1"/>
  <c r="A175" i="81" s="1"/>
  <c r="A176" i="81" s="1"/>
  <c r="A177" i="81" s="1"/>
  <c r="A178" i="81" s="1"/>
  <c r="A179" i="81" s="1"/>
  <c r="A180" i="81" s="1"/>
  <c r="A181" i="81" s="1"/>
  <c r="A182" i="81" s="1"/>
  <c r="A183" i="81" s="1"/>
  <c r="A184" i="81" s="1"/>
  <c r="A185" i="81" s="1"/>
  <c r="A130" i="81"/>
  <c r="A93" i="81"/>
  <c r="A94" i="81" s="1"/>
  <c r="A95" i="81" s="1"/>
  <c r="A96" i="81" s="1"/>
  <c r="A97" i="81" s="1"/>
  <c r="A98" i="81" s="1"/>
  <c r="A99" i="81" s="1"/>
  <c r="A100" i="81" s="1"/>
  <c r="A101" i="81" s="1"/>
  <c r="A102" i="81" s="1"/>
  <c r="A103" i="81" s="1"/>
  <c r="A104" i="81" s="1"/>
  <c r="A105" i="81" s="1"/>
  <c r="A106" i="81" s="1"/>
  <c r="A107" i="81" s="1"/>
  <c r="A108" i="81" s="1"/>
  <c r="A109" i="81" s="1"/>
  <c r="A110" i="81" s="1"/>
  <c r="A111" i="81" s="1"/>
  <c r="A112" i="81" s="1"/>
  <c r="A113" i="81" s="1"/>
  <c r="A114" i="81" s="1"/>
  <c r="A115" i="81" s="1"/>
  <c r="A116" i="81" s="1"/>
  <c r="A117" i="81" s="1"/>
  <c r="A118" i="81" s="1"/>
  <c r="A119" i="81" s="1"/>
  <c r="A120" i="81" s="1"/>
  <c r="A121" i="81" s="1"/>
  <c r="A122" i="81" s="1"/>
  <c r="A123" i="81" s="1"/>
  <c r="A91" i="81"/>
  <c r="A92" i="81" s="1"/>
  <c r="A74" i="81"/>
  <c r="A75" i="81" s="1"/>
  <c r="A76" i="81" s="1"/>
  <c r="A77" i="81" s="1"/>
  <c r="F11" i="81" s="1"/>
  <c r="A23" i="81"/>
  <c r="A24" i="81" s="1"/>
  <c r="A25" i="81" s="1"/>
  <c r="A26" i="81" s="1"/>
  <c r="A27" i="81" s="1"/>
  <c r="A28" i="81" s="1"/>
  <c r="A29" i="81" s="1"/>
  <c r="A30" i="81" s="1"/>
  <c r="A31" i="81" s="1"/>
  <c r="A32" i="81" s="1"/>
  <c r="A33" i="81" s="1"/>
  <c r="A34" i="81" s="1"/>
  <c r="A35" i="81" s="1"/>
  <c r="A36" i="81" s="1"/>
  <c r="A37" i="81" s="1"/>
  <c r="A38" i="81" s="1"/>
  <c r="A39" i="81" s="1"/>
  <c r="A40" i="81" s="1"/>
  <c r="A41" i="81" s="1"/>
  <c r="A42" i="81" s="1"/>
  <c r="A43" i="81" s="1"/>
  <c r="A44" i="81" s="1"/>
  <c r="A45" i="81" s="1"/>
  <c r="A46" i="81" s="1"/>
  <c r="A47" i="81" s="1"/>
  <c r="A48" i="81" s="1"/>
  <c r="A49" i="81" s="1"/>
  <c r="A50" i="81" s="1"/>
  <c r="A51" i="81" s="1"/>
  <c r="A52" i="81" s="1"/>
  <c r="A53" i="81" s="1"/>
  <c r="A54" i="81" s="1"/>
  <c r="F12" i="81"/>
  <c r="F10" i="81"/>
  <c r="A9" i="81"/>
  <c r="A10" i="81" s="1"/>
  <c r="A11" i="81" s="1"/>
  <c r="A12" i="81" s="1"/>
  <c r="A13" i="81" s="1"/>
  <c r="A14" i="81" s="1"/>
  <c r="A15" i="81" s="1"/>
  <c r="F7" i="81"/>
  <c r="A7" i="81"/>
  <c r="A8" i="81" s="1"/>
  <c r="F10" i="80" l="1"/>
  <c r="F7" i="80"/>
  <c r="F11" i="80"/>
  <c r="H14" i="65" l="1"/>
  <c r="G71" i="8" l="1"/>
  <c r="A50" i="8"/>
  <c r="F70" i="26"/>
  <c r="B190" i="71" l="1"/>
  <c r="C57" i="22" l="1"/>
  <c r="A43" i="2"/>
  <c r="A119" i="46"/>
  <c r="G69" i="22" l="1"/>
  <c r="G63" i="22"/>
  <c r="A10" i="22"/>
  <c r="A11" i="22" s="1"/>
  <c r="A12" i="22" s="1"/>
  <c r="A13" i="22" s="1"/>
  <c r="A14" i="22" s="1"/>
  <c r="A15" i="22" s="1"/>
  <c r="A16" i="22" s="1"/>
  <c r="A17" i="22" s="1"/>
  <c r="A18" i="22" s="1"/>
  <c r="A19" i="22" s="1"/>
  <c r="A20" i="22" s="1"/>
  <c r="A21" i="22" s="1"/>
  <c r="G23" i="22" l="1"/>
  <c r="A23" i="22"/>
  <c r="A83" i="44"/>
  <c r="A82" i="44"/>
  <c r="A24" i="22" l="1"/>
  <c r="G27" i="22"/>
  <c r="A26" i="22" l="1"/>
  <c r="A27" i="22" s="1"/>
  <c r="A34" i="22" s="1"/>
  <c r="G26" i="22"/>
  <c r="A35" i="22" l="1"/>
  <c r="A36" i="22" s="1"/>
  <c r="A37" i="22" s="1"/>
  <c r="A38" i="22" s="1"/>
  <c r="A39" i="22" s="1"/>
  <c r="A40" i="22" s="1"/>
  <c r="A41" i="22" s="1"/>
  <c r="A42" i="22" s="1"/>
  <c r="A43" i="22" s="1"/>
  <c r="A44" i="22" s="1"/>
  <c r="A45" i="22" s="1"/>
  <c r="A46" i="22" s="1"/>
  <c r="A51" i="8"/>
  <c r="A52" i="8" s="1"/>
  <c r="A53" i="8" s="1"/>
  <c r="A54" i="8" s="1"/>
  <c r="A55" i="8" s="1"/>
  <c r="A56" i="8" s="1"/>
  <c r="A57" i="8" s="1"/>
  <c r="A58" i="8" s="1"/>
  <c r="A59" i="8" s="1"/>
  <c r="A49" i="22" l="1"/>
  <c r="G53" i="22"/>
  <c r="G49" i="22"/>
  <c r="B126" i="53"/>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50" i="22" l="1"/>
  <c r="A51" i="22" s="1"/>
  <c r="A53" i="22" s="1"/>
  <c r="A47" i="63"/>
  <c r="A48" i="63" s="1"/>
  <c r="A49" i="63" s="1"/>
  <c r="A50" i="63" s="1"/>
  <c r="A51" i="63" s="1"/>
  <c r="A52" i="63" s="1"/>
  <c r="A53" i="63" s="1"/>
  <c r="A43" i="63"/>
  <c r="A44" i="63" s="1"/>
  <c r="A45" i="63" s="1"/>
  <c r="A46" i="63" s="1"/>
  <c r="A54" i="22" l="1"/>
  <c r="A55" i="22" s="1"/>
  <c r="G55" i="22"/>
  <c r="G51" i="22"/>
  <c r="C34" i="48" l="1"/>
  <c r="C35" i="48"/>
  <c r="C36" i="48"/>
  <c r="C97" i="48"/>
  <c r="C98" i="48"/>
  <c r="C99" i="48"/>
  <c r="L14" i="53" l="1"/>
  <c r="F198" i="61"/>
  <c r="K57" i="53" l="1"/>
  <c r="B98"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46" i="21" l="1"/>
  <c r="G92" i="64"/>
  <c r="B99" i="64"/>
  <c r="A70" i="64"/>
  <c r="A71" i="64" s="1"/>
  <c r="A72" i="64" s="1"/>
  <c r="A73" i="64" s="1"/>
  <c r="B100" i="64" l="1"/>
  <c r="A74" i="64"/>
  <c r="A75" i="64" s="1"/>
  <c r="A76" i="64" s="1"/>
  <c r="A77" i="64" s="1"/>
  <c r="A78" i="64" s="1"/>
  <c r="B105"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3" i="15" l="1"/>
  <c r="A283" i="15"/>
  <c r="I281" i="15"/>
  <c r="A266" i="15"/>
  <c r="A267" i="15" s="1"/>
  <c r="A268" i="15" s="1"/>
  <c r="A269" i="15" s="1"/>
  <c r="A270" i="15" s="1"/>
  <c r="A271" i="15" s="1"/>
  <c r="A272" i="15" s="1"/>
  <c r="A273" i="15" s="1"/>
  <c r="A274" i="15" s="1"/>
  <c r="A275" i="15" s="1"/>
  <c r="A276" i="15" s="1"/>
  <c r="A277" i="15" s="1"/>
  <c r="A278" i="15" s="1"/>
  <c r="I261"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I137" i="15"/>
  <c r="A137" i="15"/>
  <c r="E142" i="15" s="1"/>
  <c r="I135" i="15"/>
  <c r="A119" i="15"/>
  <c r="A120" i="15" s="1"/>
  <c r="A121" i="15" s="1"/>
  <c r="A122" i="15" s="1"/>
  <c r="A123" i="15" s="1"/>
  <c r="A124" i="15" s="1"/>
  <c r="A125" i="15" s="1"/>
  <c r="A126" i="15" s="1"/>
  <c r="A127" i="15" s="1"/>
  <c r="A128" i="15" s="1"/>
  <c r="A129" i="15" s="1"/>
  <c r="A130" i="15" s="1"/>
  <c r="A131" i="15" s="1"/>
  <c r="A132" i="15" s="1"/>
  <c r="A31" i="15"/>
  <c r="A11" i="15"/>
  <c r="A12" i="15" s="1"/>
  <c r="I173" i="15" l="1"/>
  <c r="A284" i="15"/>
  <c r="A285" i="15" s="1"/>
  <c r="E12"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H261" i="15"/>
  <c r="A176" i="15"/>
  <c r="E11" i="15"/>
  <c r="D261" i="15"/>
  <c r="A138" i="15"/>
  <c r="A139" i="15" s="1"/>
  <c r="E288" i="15"/>
  <c r="A288" i="15" l="1"/>
  <c r="A296" i="15" s="1"/>
  <c r="A297" i="15" s="1"/>
  <c r="A298" i="15" s="1"/>
  <c r="A299" i="15" s="1"/>
  <c r="A300" i="15" s="1"/>
  <c r="A301" i="15" s="1"/>
  <c r="A302" i="15" s="1"/>
  <c r="A303" i="15" s="1"/>
  <c r="A304" i="15" s="1"/>
  <c r="A305" i="15" s="1"/>
  <c r="A306" i="15" s="1"/>
  <c r="A307" i="15" s="1"/>
  <c r="A308" i="15" s="1"/>
  <c r="A309" i="15" s="1"/>
  <c r="A310" i="15" s="1"/>
  <c r="E24" i="15" s="1"/>
  <c r="G261" i="15"/>
  <c r="I285" i="15"/>
  <c r="A142" i="15"/>
  <c r="E10" i="15"/>
  <c r="I139" i="15"/>
  <c r="F261" i="15"/>
  <c r="E261" i="15"/>
  <c r="H42" i="8" l="1"/>
  <c r="H33" i="8"/>
  <c r="F102" i="8"/>
  <c r="F97" i="8"/>
  <c r="J10" i="28" l="1"/>
  <c r="F179" i="61" l="1"/>
  <c r="E12" i="2" l="1"/>
  <c r="E11" i="2"/>
  <c r="E41" i="71"/>
  <c r="H27" i="8"/>
  <c r="H25" i="8"/>
  <c r="H9" i="8"/>
  <c r="H8" i="8"/>
  <c r="G27" i="32"/>
  <c r="G21" i="32"/>
  <c r="G13" i="32"/>
  <c r="B100" i="44"/>
  <c r="B194" i="71"/>
  <c r="F141" i="71"/>
  <c r="F140" i="71"/>
  <c r="D64" i="46"/>
  <c r="J32" i="28"/>
  <c r="J30" i="28"/>
  <c r="J29" i="28"/>
  <c r="J23" i="28"/>
  <c r="J8" i="28"/>
  <c r="G68" i="8"/>
  <c r="G70" i="8"/>
  <c r="E51" i="7"/>
  <c r="E39" i="7"/>
  <c r="I134" i="1"/>
  <c r="I133" i="1"/>
  <c r="I130" i="1"/>
  <c r="I128" i="1"/>
  <c r="I126" i="1"/>
  <c r="I100" i="1"/>
  <c r="I32" i="1"/>
  <c r="I30" i="1"/>
  <c r="I22" i="1"/>
  <c r="I12" i="1"/>
  <c r="I11" i="1"/>
  <c r="F195" i="61" l="1"/>
  <c r="F196" i="61"/>
  <c r="F193" i="61"/>
  <c r="F199" i="61"/>
  <c r="C99" i="26" l="1"/>
  <c r="I21" i="45"/>
  <c r="H56" i="26" l="1"/>
  <c r="F63" i="26"/>
  <c r="B112" i="12" l="1"/>
  <c r="J33" i="28" l="1"/>
  <c r="J24" i="28"/>
  <c r="A10" i="72"/>
  <c r="J9" i="28" l="1"/>
  <c r="J25" i="28"/>
  <c r="J11" i="28" l="1"/>
  <c r="A9" i="28" l="1"/>
  <c r="I63" i="1" l="1"/>
  <c r="I30" i="28" l="1"/>
  <c r="I31" i="28"/>
  <c r="I68" i="1"/>
  <c r="J26" i="28"/>
  <c r="B145" i="21" l="1"/>
  <c r="A35" i="21"/>
  <c r="H19" i="8" s="1"/>
  <c r="G34" i="21"/>
  <c r="G33" i="21"/>
  <c r="A13" i="21"/>
  <c r="A14" i="21" s="1"/>
  <c r="A15" i="21" s="1"/>
  <c r="A16" i="21" s="1"/>
  <c r="A17" i="21" s="1"/>
  <c r="A18" i="21" s="1"/>
  <c r="A19" i="21" s="1"/>
  <c r="A20" i="21" s="1"/>
  <c r="A21" i="21" s="1"/>
  <c r="A22" i="21" s="1"/>
  <c r="A23" i="21" s="1"/>
  <c r="A24" i="21" s="1"/>
  <c r="B148" i="21" s="1"/>
  <c r="A12" i="4"/>
  <c r="A13" i="4" s="1"/>
  <c r="A14" i="4" s="1"/>
  <c r="A15" i="4" s="1"/>
  <c r="A16" i="4" s="1"/>
  <c r="A17" i="4" s="1"/>
  <c r="A18" i="4" s="1"/>
  <c r="A19" i="4" s="1"/>
  <c r="A20" i="4" s="1"/>
  <c r="A21" i="4" s="1"/>
  <c r="A22" i="4" s="1"/>
  <c r="A23" i="4" s="1"/>
  <c r="E36" i="7" l="1"/>
  <c r="B229" i="4"/>
  <c r="E38" i="7"/>
  <c r="I21" i="1"/>
  <c r="G35" i="21"/>
  <c r="A44" i="21"/>
  <c r="A45" i="21" s="1"/>
  <c r="H46" i="21" s="1"/>
  <c r="A25" i="21"/>
  <c r="A24" i="4"/>
  <c r="A33" i="21" l="1"/>
  <c r="B144" i="21" s="1"/>
  <c r="H18" i="8"/>
  <c r="A34" i="4"/>
  <c r="G58" i="21"/>
  <c r="A46" i="21"/>
  <c r="B108" i="12"/>
  <c r="H35" i="21" l="1"/>
  <c r="B221" i="4"/>
  <c r="A35" i="4"/>
  <c r="G51" i="21"/>
  <c r="A51" i="21"/>
  <c r="E37" i="7" l="1"/>
  <c r="B222" i="4"/>
  <c r="I73" i="1"/>
  <c r="J34" i="28"/>
  <c r="A36" i="4"/>
  <c r="E43" i="4"/>
  <c r="A52" i="21"/>
  <c r="A53" i="21" s="1"/>
  <c r="H20" i="8" s="1"/>
  <c r="A58" i="21" l="1"/>
  <c r="A59" i="21" s="1"/>
  <c r="A60" i="21" s="1"/>
  <c r="G53" i="21"/>
  <c r="A42" i="4"/>
  <c r="E42" i="4"/>
  <c r="I23" i="1" l="1"/>
  <c r="A70" i="21"/>
  <c r="A43" i="4"/>
  <c r="H6" i="8"/>
  <c r="G60" i="21"/>
  <c r="A52" i="4" l="1"/>
  <c r="A53" i="4" s="1"/>
  <c r="A56" i="4" s="1"/>
  <c r="I9" i="1"/>
  <c r="G61" i="4" l="1"/>
  <c r="G56" i="4"/>
  <c r="E24" i="2"/>
  <c r="E22" i="2"/>
  <c r="A71" i="21"/>
  <c r="A72" i="21" s="1"/>
  <c r="A73" i="21" s="1"/>
  <c r="A74" i="21" s="1"/>
  <c r="A75" i="21" s="1"/>
  <c r="A76" i="21" s="1"/>
  <c r="A77" i="21" s="1"/>
  <c r="A78" i="21" s="1"/>
  <c r="A79" i="21" s="1"/>
  <c r="A80" i="21" s="1"/>
  <c r="A81" i="21" s="1"/>
  <c r="A82" i="21" s="1"/>
  <c r="B149" i="21" s="1"/>
  <c r="A57" i="4"/>
  <c r="A58" i="4" s="1"/>
  <c r="A61" i="4" l="1"/>
  <c r="A62" i="4" s="1"/>
  <c r="A63" i="4" s="1"/>
  <c r="H7" i="8"/>
  <c r="A89" i="21"/>
  <c r="G58" i="4"/>
  <c r="A73" i="4" l="1"/>
  <c r="A74" i="4" s="1"/>
  <c r="A75" i="4" s="1"/>
  <c r="A76" i="4" s="1"/>
  <c r="A77" i="4" s="1"/>
  <c r="A78" i="4" s="1"/>
  <c r="A79" i="4" s="1"/>
  <c r="A80" i="4" s="1"/>
  <c r="A81" i="4" s="1"/>
  <c r="A82" i="4" s="1"/>
  <c r="A83" i="4" s="1"/>
  <c r="A84" i="4" s="1"/>
  <c r="A85" i="4" s="1"/>
  <c r="A92" i="4" s="1"/>
  <c r="A93" i="4" s="1"/>
  <c r="A94" i="4" s="1"/>
  <c r="A95" i="4" s="1"/>
  <c r="A96" i="4" s="1"/>
  <c r="A97" i="4" s="1"/>
  <c r="A98" i="4" s="1"/>
  <c r="A99" i="4" s="1"/>
  <c r="A100" i="4" s="1"/>
  <c r="A101" i="4" s="1"/>
  <c r="A102" i="4" s="1"/>
  <c r="A103" i="4" s="1"/>
  <c r="A104" i="4" s="1"/>
  <c r="A111" i="4" s="1"/>
  <c r="I10" i="1"/>
  <c r="A90" i="21"/>
  <c r="A91" i="21" s="1"/>
  <c r="A92" i="21" s="1"/>
  <c r="A93" i="21" s="1"/>
  <c r="A94" i="21" s="1"/>
  <c r="A95" i="21" s="1"/>
  <c r="A96" i="21" s="1"/>
  <c r="A97" i="21" s="1"/>
  <c r="A98" i="21" s="1"/>
  <c r="A99" i="21" s="1"/>
  <c r="A100" i="21" s="1"/>
  <c r="A106" i="21" s="1"/>
  <c r="G63" i="4"/>
  <c r="A109" i="21" l="1"/>
  <c r="A112" i="21" s="1"/>
  <c r="A112" i="4"/>
  <c r="A113" i="4" s="1"/>
  <c r="A114" i="4" s="1"/>
  <c r="A115" i="4" s="1"/>
  <c r="A116" i="4" s="1"/>
  <c r="A117" i="4" s="1"/>
  <c r="A118" i="4" s="1"/>
  <c r="A119" i="4" s="1"/>
  <c r="A120" i="4" s="1"/>
  <c r="A121" i="4" s="1"/>
  <c r="A122" i="4" s="1"/>
  <c r="A123" i="4" s="1"/>
  <c r="B150" i="21" l="1"/>
  <c r="A119" i="21"/>
  <c r="A120" i="21" s="1"/>
  <c r="A121" i="21" s="1"/>
  <c r="A122" i="21" s="1"/>
  <c r="A123" i="21" s="1"/>
  <c r="A124" i="21" s="1"/>
  <c r="A125" i="21" s="1"/>
  <c r="A126" i="21" s="1"/>
  <c r="A127" i="21" s="1"/>
  <c r="A128" i="21" s="1"/>
  <c r="A129" i="21" s="1"/>
  <c r="A130" i="21" s="1"/>
  <c r="A131" i="21" s="1"/>
  <c r="A130" i="4"/>
  <c r="A131" i="4" l="1"/>
  <c r="A132" i="4" s="1"/>
  <c r="A133" i="4" s="1"/>
  <c r="A134" i="4" s="1"/>
  <c r="A135" i="4" s="1"/>
  <c r="A136" i="4" s="1"/>
  <c r="A137" i="4" s="1"/>
  <c r="A138" i="4" s="1"/>
  <c r="A139" i="4" s="1"/>
  <c r="A140" i="4" s="1"/>
  <c r="A141" i="4" s="1"/>
  <c r="A142" i="4" s="1"/>
  <c r="B230" i="4" s="1"/>
  <c r="A149" i="4" l="1"/>
  <c r="A150" i="4" l="1"/>
  <c r="A151" i="4" s="1"/>
  <c r="A152" i="4" s="1"/>
  <c r="A153" i="4" s="1"/>
  <c r="A154" i="4" s="1"/>
  <c r="A155" i="4" s="1"/>
  <c r="A156" i="4" s="1"/>
  <c r="A157" i="4" s="1"/>
  <c r="A158" i="4" s="1"/>
  <c r="A159" i="4" s="1"/>
  <c r="A160" i="4" s="1"/>
  <c r="A161" i="4" s="1"/>
  <c r="A166" i="4" s="1"/>
  <c r="A167" i="4" s="1"/>
  <c r="A168" i="4" s="1"/>
  <c r="A169" i="4" s="1"/>
  <c r="A170" i="4" s="1"/>
  <c r="A171" i="4" s="1"/>
  <c r="A172" i="4" s="1"/>
  <c r="A173" i="4" s="1"/>
  <c r="A174" i="4" s="1"/>
  <c r="A175" i="4" s="1"/>
  <c r="A176" i="4" s="1"/>
  <c r="A177" i="4" s="1"/>
  <c r="A182" i="4" s="1"/>
  <c r="B233" i="4" l="1"/>
  <c r="A186" i="4"/>
  <c r="A190" i="4" s="1"/>
  <c r="B232" i="4" s="1"/>
  <c r="B231" i="4" l="1"/>
  <c r="A196" i="4"/>
  <c r="K84" i="1"/>
  <c r="A197" i="4" l="1"/>
  <c r="A198" i="4" s="1"/>
  <c r="A199" i="4" s="1"/>
  <c r="A200" i="4" s="1"/>
  <c r="A201" i="4" s="1"/>
  <c r="A202" i="4" s="1"/>
  <c r="A203" i="4" s="1"/>
  <c r="A204" i="4" s="1"/>
  <c r="A205" i="4" s="1"/>
  <c r="A206" i="4" s="1"/>
  <c r="A207" i="4" s="1"/>
  <c r="A208" i="4" s="1"/>
  <c r="B34" i="31"/>
  <c r="B234" i="4" l="1"/>
  <c r="F46" i="71"/>
  <c r="A10" i="71"/>
  <c r="A11" i="71" s="1"/>
  <c r="A12" i="71" s="1"/>
  <c r="A13" i="71" s="1"/>
  <c r="A14" i="71" s="1"/>
  <c r="A15" i="71" s="1"/>
  <c r="A16" i="71" s="1"/>
  <c r="A17" i="71" s="1"/>
  <c r="A18" i="71" s="1"/>
  <c r="A19" i="71" s="1"/>
  <c r="F53" i="71"/>
  <c r="F74" i="61"/>
  <c r="F41" i="61"/>
  <c r="I34" i="44"/>
  <c r="H34" i="44"/>
  <c r="A14" i="44"/>
  <c r="A15" i="44" s="1"/>
  <c r="A16" i="44" s="1"/>
  <c r="A17" i="44" s="1"/>
  <c r="A18" i="44" s="1"/>
  <c r="A30" i="44" s="1"/>
  <c r="E105"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B54" i="54"/>
  <c r="A5" i="31"/>
  <c r="D66" i="65"/>
  <c r="F15" i="66"/>
  <c r="F41" i="54"/>
  <c r="F38" i="54"/>
  <c r="F29" i="54"/>
  <c r="A8" i="2"/>
  <c r="A9" i="2" s="1"/>
  <c r="A11" i="7"/>
  <c r="A12" i="7" s="1"/>
  <c r="A13" i="7" s="1"/>
  <c r="A14" i="7" s="1"/>
  <c r="A15" i="7" s="1"/>
  <c r="A16" i="7" s="1"/>
  <c r="A14" i="65"/>
  <c r="A15" i="65" s="1"/>
  <c r="A16" i="65" s="1"/>
  <c r="A17" i="65" s="1"/>
  <c r="A18" i="65" s="1"/>
  <c r="A19" i="65" s="1"/>
  <c r="A20" i="65" s="1"/>
  <c r="A21" i="65" s="1"/>
  <c r="A22" i="65" s="1"/>
  <c r="A23" i="65" s="1"/>
  <c r="A24" i="65" s="1"/>
  <c r="A25" i="65" s="1"/>
  <c r="A26" i="65" s="1"/>
  <c r="A27" i="65" s="1"/>
  <c r="A28" i="65" s="1"/>
  <c r="A29" i="65" s="1"/>
  <c r="A30" i="65" s="1"/>
  <c r="A31" i="65" s="1"/>
  <c r="A32" i="65" s="1"/>
  <c r="A33" i="65" s="1"/>
  <c r="A34" i="65" s="1"/>
  <c r="A35" i="65" s="1"/>
  <c r="A36" i="65" s="1"/>
  <c r="A38"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78" i="61"/>
  <c r="F176" i="61"/>
  <c r="F175" i="61"/>
  <c r="F167" i="61"/>
  <c r="F166" i="61"/>
  <c r="F165" i="61"/>
  <c r="F164" i="61"/>
  <c r="F163" i="61"/>
  <c r="F162" i="61"/>
  <c r="F161" i="61"/>
  <c r="F160" i="61"/>
  <c r="F159" i="61"/>
  <c r="F158" i="61"/>
  <c r="F157" i="61"/>
  <c r="F156" i="61"/>
  <c r="F155" i="61"/>
  <c r="F138" i="61"/>
  <c r="F137" i="61"/>
  <c r="F136" i="61"/>
  <c r="F135" i="61"/>
  <c r="F134" i="61"/>
  <c r="F133" i="61"/>
  <c r="F132" i="61"/>
  <c r="F131" i="61"/>
  <c r="F130" i="61"/>
  <c r="F129" i="61"/>
  <c r="F128" i="61"/>
  <c r="F127" i="61"/>
  <c r="F126" i="61"/>
  <c r="F125" i="61"/>
  <c r="F124" i="61"/>
  <c r="F123" i="61"/>
  <c r="F122"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7" i="61"/>
  <c r="F76" i="61"/>
  <c r="F75" i="61"/>
  <c r="F73" i="61"/>
  <c r="F72" i="61"/>
  <c r="F71" i="61"/>
  <c r="F70" i="61"/>
  <c r="F69" i="61"/>
  <c r="F68" i="61"/>
  <c r="F67" i="61"/>
  <c r="F58" i="61"/>
  <c r="F57" i="61"/>
  <c r="F56" i="61"/>
  <c r="F55" i="61"/>
  <c r="F54" i="61"/>
  <c r="F53" i="61"/>
  <c r="F52" i="61"/>
  <c r="F51" i="61"/>
  <c r="F50" i="61"/>
  <c r="F49" i="61"/>
  <c r="F48" i="61"/>
  <c r="F47" i="61"/>
  <c r="F46" i="61"/>
  <c r="F45" i="61"/>
  <c r="F44" i="61"/>
  <c r="F43" i="61"/>
  <c r="F42" i="61"/>
  <c r="F40" i="61"/>
  <c r="F39" i="61"/>
  <c r="F38" i="61"/>
  <c r="F19" i="61"/>
  <c r="F18" i="61"/>
  <c r="F17" i="61"/>
  <c r="F16" i="61"/>
  <c r="F15" i="61"/>
  <c r="F14" i="61"/>
  <c r="F13" i="61"/>
  <c r="F12" i="61"/>
  <c r="F11"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3" i="32"/>
  <c r="G14" i="32" s="1"/>
  <c r="A7" i="26"/>
  <c r="A8" i="26" s="1"/>
  <c r="A9" i="26" s="1"/>
  <c r="A10" i="26" s="1"/>
  <c r="A27" i="11"/>
  <c r="A7" i="8"/>
  <c r="A8" i="8" s="1"/>
  <c r="A9" i="8" s="1"/>
  <c r="A28" i="11"/>
  <c r="A29" i="11" s="1"/>
  <c r="A30" i="11" s="1"/>
  <c r="A31" i="11" s="1"/>
  <c r="A32" i="11" s="1"/>
  <c r="A33" i="11" s="1"/>
  <c r="A34" i="11" s="1"/>
  <c r="A35" i="11" s="1"/>
  <c r="A36" i="11" s="1"/>
  <c r="A37" i="11" s="1"/>
  <c r="A10" i="1"/>
  <c r="A41" i="46" l="1"/>
  <c r="A42" i="46" s="1"/>
  <c r="A43" i="46" s="1"/>
  <c r="A10" i="2"/>
  <c r="A11" i="2" s="1"/>
  <c r="A12" i="2" s="1"/>
  <c r="A13" i="2" s="1"/>
  <c r="E10" i="2"/>
  <c r="F47" i="71"/>
  <c r="E54" i="7"/>
  <c r="A29" i="57"/>
  <c r="A11" i="1"/>
  <c r="A12" i="1" s="1"/>
  <c r="A15" i="1" s="1"/>
  <c r="A16" i="1" s="1"/>
  <c r="A17" i="1" s="1"/>
  <c r="H14" i="8" s="1"/>
  <c r="H24" i="8"/>
  <c r="I28" i="1"/>
  <c r="G24" i="26"/>
  <c r="A11" i="26"/>
  <c r="A12" i="26" s="1"/>
  <c r="A13" i="26" s="1"/>
  <c r="A14" i="26" s="1"/>
  <c r="A15" i="26" s="1"/>
  <c r="A16" i="26" s="1"/>
  <c r="A17" i="26" s="1"/>
  <c r="A18" i="26" s="1"/>
  <c r="A19" i="26" s="1"/>
  <c r="A20" i="26" s="1"/>
  <c r="A35" i="63"/>
  <c r="A36" i="63" s="1"/>
  <c r="A37" i="63" s="1"/>
  <c r="A38" i="63" s="1"/>
  <c r="A39" i="63" s="1"/>
  <c r="A40" i="63" s="1"/>
  <c r="A41" i="63" s="1"/>
  <c r="A15" i="17"/>
  <c r="A16" i="17" s="1"/>
  <c r="A17" i="17" s="1"/>
  <c r="A18" i="17" s="1"/>
  <c r="A17" i="7"/>
  <c r="A18" i="7" s="1"/>
  <c r="A19" i="7" s="1"/>
  <c r="A20" i="7" s="1"/>
  <c r="A21" i="7" s="1"/>
  <c r="G20" i="71"/>
  <c r="A20" i="71"/>
  <c r="B191" i="71" s="1"/>
  <c r="G77" i="44"/>
  <c r="A31" i="44"/>
  <c r="A46" i="11"/>
  <c r="H39" i="12" s="1"/>
  <c r="A12" i="8"/>
  <c r="A11" i="56"/>
  <c r="A12" i="56" s="1"/>
  <c r="A22" i="7"/>
  <c r="A23" i="7" s="1"/>
  <c r="A24" i="7" s="1"/>
  <c r="A25" i="7" s="1"/>
  <c r="A14" i="32"/>
  <c r="A20" i="32" s="1"/>
  <c r="A27" i="12"/>
  <c r="A6" i="31"/>
  <c r="A7" i="31" s="1"/>
  <c r="A8" i="31" s="1"/>
  <c r="B39" i="31" s="1"/>
  <c r="A44" i="46" l="1"/>
  <c r="A52" i="46" s="1"/>
  <c r="E62" i="46"/>
  <c r="C76" i="26"/>
  <c r="A18" i="1"/>
  <c r="I18" i="1"/>
  <c r="A42" i="63"/>
  <c r="F54" i="71"/>
  <c r="E58" i="7"/>
  <c r="A30" i="57"/>
  <c r="A31" i="57" s="1"/>
  <c r="G31" i="57"/>
  <c r="B114"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D12" i="56"/>
  <c r="A13" i="56"/>
  <c r="A14" i="56" s="1"/>
  <c r="A15" i="56" s="1"/>
  <c r="A16" i="56" s="1"/>
  <c r="A17" i="56" s="1"/>
  <c r="A13" i="8"/>
  <c r="A14" i="8" s="1"/>
  <c r="A15" i="8" s="1"/>
  <c r="A47" i="11"/>
  <c r="H40" i="12" s="1"/>
  <c r="A32" i="44"/>
  <c r="G55" i="44"/>
  <c r="A24" i="26"/>
  <c r="A25" i="26" s="1"/>
  <c r="A21" i="1"/>
  <c r="A53" i="46" l="1"/>
  <c r="A54" i="46" s="1"/>
  <c r="A55" i="46" s="1"/>
  <c r="A58" i="63"/>
  <c r="A59" i="63" s="1"/>
  <c r="A60" i="63" s="1"/>
  <c r="A61" i="63" s="1"/>
  <c r="A62" i="63" s="1"/>
  <c r="A63" i="63" s="1"/>
  <c r="A64" i="63" s="1"/>
  <c r="A32" i="57"/>
  <c r="A33" i="57" s="1"/>
  <c r="A39" i="65"/>
  <c r="A40" i="65" s="1"/>
  <c r="D17" i="56"/>
  <c r="K83" i="1"/>
  <c r="E15" i="2"/>
  <c r="A15" i="2"/>
  <c r="H15" i="8"/>
  <c r="A26" i="26"/>
  <c r="A27" i="26" s="1"/>
  <c r="A28" i="26" s="1"/>
  <c r="G25" i="26"/>
  <c r="C105" i="46"/>
  <c r="D105" i="46"/>
  <c r="A25" i="71"/>
  <c r="A26" i="71" s="1"/>
  <c r="A33" i="44"/>
  <c r="B48" i="44" s="1"/>
  <c r="G64" i="44"/>
  <c r="A18" i="8"/>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I15" i="1"/>
  <c r="A21" i="32"/>
  <c r="A22" i="32" s="1"/>
  <c r="A26" i="32" s="1"/>
  <c r="A57" i="46" l="1"/>
  <c r="A58" i="46" s="1"/>
  <c r="A56" i="46"/>
  <c r="E63" i="46"/>
  <c r="A59" i="46"/>
  <c r="A60" i="46" s="1"/>
  <c r="D145" i="46" s="1"/>
  <c r="A41" i="65"/>
  <c r="A42" i="65" s="1"/>
  <c r="A43" i="65" s="1"/>
  <c r="A44" i="65" s="1"/>
  <c r="I148" i="1" s="1"/>
  <c r="G33" i="57"/>
  <c r="G73" i="44"/>
  <c r="I86" i="64"/>
  <c r="A34" i="57"/>
  <c r="A35" i="57" s="1"/>
  <c r="A36" i="57" s="1"/>
  <c r="A37" i="57" s="1"/>
  <c r="A38" i="57" s="1"/>
  <c r="A39" i="57" s="1"/>
  <c r="A40" i="57" s="1"/>
  <c r="A41" i="57" s="1"/>
  <c r="A42" i="57" s="1"/>
  <c r="A43" i="57" s="1"/>
  <c r="A44" i="57" s="1"/>
  <c r="A45" i="57" s="1"/>
  <c r="G40" i="57"/>
  <c r="A47" i="7"/>
  <c r="A48" i="7" s="1"/>
  <c r="G26" i="26"/>
  <c r="F28" i="54"/>
  <c r="G59" i="21"/>
  <c r="G62" i="4"/>
  <c r="G52" i="21"/>
  <c r="G57" i="4"/>
  <c r="I55" i="1"/>
  <c r="A16" i="2"/>
  <c r="A17" i="2" s="1"/>
  <c r="A18" i="2" s="1"/>
  <c r="A19" i="2" s="1"/>
  <c r="A20" i="2" s="1"/>
  <c r="A21" i="2" s="1"/>
  <c r="A22" i="2" s="1"/>
  <c r="G22" i="32"/>
  <c r="G45" i="57"/>
  <c r="G43" i="57"/>
  <c r="G27" i="26"/>
  <c r="A55" i="12"/>
  <c r="A56" i="12" s="1"/>
  <c r="A57" i="12" s="1"/>
  <c r="A58" i="12" s="1"/>
  <c r="A59" i="12" s="1"/>
  <c r="H61" i="8" s="1"/>
  <c r="B185" i="71"/>
  <c r="B188" i="71"/>
  <c r="F26" i="71"/>
  <c r="A49" i="7"/>
  <c r="A50" i="7" s="1"/>
  <c r="A51" i="7" s="1"/>
  <c r="A52" i="7" s="1"/>
  <c r="A53" i="7" s="1"/>
  <c r="A54" i="7" s="1"/>
  <c r="A55" i="7" s="1"/>
  <c r="F64" i="71"/>
  <c r="A31" i="71"/>
  <c r="A32" i="71" s="1"/>
  <c r="H12" i="8"/>
  <c r="A26" i="1"/>
  <c r="A27" i="32"/>
  <c r="A28" i="32" s="1"/>
  <c r="A21" i="56"/>
  <c r="A22" i="56" s="1"/>
  <c r="A23" i="56" s="1"/>
  <c r="A24" i="56" s="1"/>
  <c r="A25" i="56" s="1"/>
  <c r="A26" i="56" s="1"/>
  <c r="A49" i="11"/>
  <c r="A50" i="11" s="1"/>
  <c r="A51" i="11" s="1"/>
  <c r="A60" i="11" s="1"/>
  <c r="I24" i="1"/>
  <c r="B41" i="31"/>
  <c r="B36" i="31"/>
  <c r="A18" i="31"/>
  <c r="E40" i="7"/>
  <c r="A19" i="8"/>
  <c r="A20" i="8" s="1"/>
  <c r="A21" i="8" s="1"/>
  <c r="A34" i="44"/>
  <c r="G80" i="44"/>
  <c r="A29" i="26"/>
  <c r="G29" i="26"/>
  <c r="D144" i="46" l="1"/>
  <c r="A61" i="46"/>
  <c r="A62" i="46" s="1"/>
  <c r="A63" i="46" s="1"/>
  <c r="A64" i="46" s="1"/>
  <c r="A74" i="46" s="1"/>
  <c r="A75" i="46" s="1"/>
  <c r="A76" i="46" s="1"/>
  <c r="A77" i="46" s="1"/>
  <c r="A78" i="46" s="1"/>
  <c r="A79" i="46" s="1"/>
  <c r="A80" i="46" s="1"/>
  <c r="A81" i="46" s="1"/>
  <c r="A82" i="46" s="1"/>
  <c r="A83" i="46" s="1"/>
  <c r="A84" i="46" s="1"/>
  <c r="A85" i="46" s="1"/>
  <c r="A86" i="46" s="1"/>
  <c r="A87" i="46" s="1"/>
  <c r="A88" i="46" s="1"/>
  <c r="A89" i="46" s="1"/>
  <c r="A90" i="46" s="1"/>
  <c r="A91" i="46" s="1"/>
  <c r="A92" i="46" s="1"/>
  <c r="A93" i="46" s="1"/>
  <c r="A94" i="46" s="1"/>
  <c r="A95" i="46" s="1"/>
  <c r="A96" i="46" s="1"/>
  <c r="A97" i="46" s="1"/>
  <c r="A98" i="46" s="1"/>
  <c r="A99" i="46" s="1"/>
  <c r="A100" i="46" s="1"/>
  <c r="A101" i="46" s="1"/>
  <c r="A102" i="46" s="1"/>
  <c r="A103" i="46" s="1"/>
  <c r="A104" i="46" s="1"/>
  <c r="A105" i="46" s="1"/>
  <c r="A106" i="46" s="1"/>
  <c r="A107" i="46" s="1"/>
  <c r="A115" i="46" s="1"/>
  <c r="A116" i="46" s="1"/>
  <c r="A117" i="46" s="1"/>
  <c r="A118" i="46" s="1"/>
  <c r="A120" i="46" s="1"/>
  <c r="A121" i="46" s="1"/>
  <c r="A45" i="65"/>
  <c r="A46" i="65" s="1"/>
  <c r="A47" i="65" s="1"/>
  <c r="A48" i="65" s="1"/>
  <c r="A49" i="65" s="1"/>
  <c r="A50" i="65" s="1"/>
  <c r="A51" i="65" s="1"/>
  <c r="A52" i="65" s="1"/>
  <c r="A53" i="65" s="1"/>
  <c r="A54" i="65" s="1"/>
  <c r="A28" i="1"/>
  <c r="A30" i="1" s="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28" i="32"/>
  <c r="A41" i="44"/>
  <c r="A42" i="44" s="1"/>
  <c r="A24" i="31"/>
  <c r="A27" i="31" s="1"/>
  <c r="A61" i="11"/>
  <c r="A27" i="56"/>
  <c r="A28" i="56" s="1"/>
  <c r="D28" i="56"/>
  <c r="A31" i="1" l="1"/>
  <c r="A32" i="1" s="1"/>
  <c r="A34" i="1" s="1"/>
  <c r="A55" i="65"/>
  <c r="A56" i="65" s="1"/>
  <c r="A57" i="65" s="1"/>
  <c r="A58" i="65" s="1"/>
  <c r="A59" i="65" s="1"/>
  <c r="A60" i="65" s="1"/>
  <c r="A61" i="65" s="1"/>
  <c r="A62" i="65" s="1"/>
  <c r="A63" i="65" s="1"/>
  <c r="A64" i="65" s="1"/>
  <c r="A65" i="65" s="1"/>
  <c r="A66" i="65" s="1"/>
  <c r="A67" i="65" s="1"/>
  <c r="A68" i="65" s="1"/>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B113" i="65"/>
  <c r="E20" i="2"/>
  <c r="A37" i="71"/>
  <c r="F34" i="71"/>
  <c r="A122" i="46"/>
  <c r="A123" i="46" s="1"/>
  <c r="A124" i="46" s="1"/>
  <c r="G12" i="32"/>
  <c r="G26" i="32"/>
  <c r="G20" i="32"/>
  <c r="H55" i="12"/>
  <c r="F69" i="12"/>
  <c r="A24" i="2"/>
  <c r="A34" i="56"/>
  <c r="A35" i="56" s="1"/>
  <c r="A36" i="56" s="1"/>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8" i="44"/>
  <c r="A43" i="44"/>
  <c r="A37" i="26"/>
  <c r="G77" i="26" s="1"/>
  <c r="A62" i="11"/>
  <c r="B125" i="46"/>
  <c r="B99" i="44"/>
  <c r="A24" i="8"/>
  <c r="G91" i="12" s="1"/>
  <c r="I115" i="1" l="1"/>
  <c r="A39" i="1"/>
  <c r="A40" i="1" s="1"/>
  <c r="A41" i="1" s="1"/>
  <c r="I35" i="1"/>
  <c r="B117" i="65"/>
  <c r="I124" i="1"/>
  <c r="A125" i="46"/>
  <c r="E7" i="2"/>
  <c r="F70" i="12"/>
  <c r="H56" i="12"/>
  <c r="E64" i="7"/>
  <c r="E69" i="7"/>
  <c r="E25" i="2"/>
  <c r="A25" i="2"/>
  <c r="A25" i="8"/>
  <c r="A64" i="7"/>
  <c r="A65" i="7" s="1"/>
  <c r="B110" i="12"/>
  <c r="A90" i="12"/>
  <c r="I41" i="1"/>
  <c r="A53" i="71"/>
  <c r="A54" i="71" s="1"/>
  <c r="A55" i="71" s="1"/>
  <c r="F66" i="71"/>
  <c r="G44" i="44"/>
  <c r="A44" i="44"/>
  <c r="A43" i="1"/>
  <c r="A44" i="1" s="1"/>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8" l="1"/>
  <c r="A27" i="8" s="1"/>
  <c r="A29" i="8" s="1"/>
  <c r="A26" i="2"/>
  <c r="A27" i="2" s="1"/>
  <c r="A28" i="2" s="1"/>
  <c r="E65" i="7"/>
  <c r="D40" i="56"/>
  <c r="A66" i="7"/>
  <c r="A67" i="7" s="1"/>
  <c r="A68" i="7" s="1"/>
  <c r="A69" i="7" s="1"/>
  <c r="A70" i="7" s="1"/>
  <c r="H13" i="8"/>
  <c r="A91" i="12"/>
  <c r="A92" i="12" s="1"/>
  <c r="H46" i="11"/>
  <c r="H47" i="11"/>
  <c r="H48" i="11"/>
  <c r="A19" i="17"/>
  <c r="A20" i="17" s="1"/>
  <c r="A56" i="71"/>
  <c r="A57" i="71" s="1"/>
  <c r="F67" i="71"/>
  <c r="A41" i="56"/>
  <c r="A42" i="56" s="1"/>
  <c r="E21" i="2" s="1"/>
  <c r="D42" i="56"/>
  <c r="A85" i="11"/>
  <c r="G87" i="44"/>
  <c r="A55" i="44"/>
  <c r="A44" i="26"/>
  <c r="A45" i="1"/>
  <c r="G90" i="12" l="1"/>
  <c r="H41" i="8"/>
  <c r="A33" i="8"/>
  <c r="H30" i="8"/>
  <c r="A64" i="71"/>
  <c r="F48" i="71"/>
  <c r="F55" i="71"/>
  <c r="I284" i="15"/>
  <c r="I172" i="15"/>
  <c r="I138" i="15"/>
  <c r="E28" i="2"/>
  <c r="A29" i="2"/>
  <c r="A30" i="2" s="1"/>
  <c r="A31" i="2" s="1"/>
  <c r="A32" i="2" s="1"/>
  <c r="A33" i="2" s="1"/>
  <c r="A34" i="2" s="1"/>
  <c r="A35" i="2" s="1"/>
  <c r="A36" i="2" s="1"/>
  <c r="A37" i="2" s="1"/>
  <c r="A38" i="2" s="1"/>
  <c r="A39" i="2" s="1"/>
  <c r="A40" i="2" s="1"/>
  <c r="A41" i="2" s="1"/>
  <c r="A42" i="2" s="1"/>
  <c r="A44" i="2" s="1"/>
  <c r="A45" i="2" s="1"/>
  <c r="A46" i="2" s="1"/>
  <c r="A47" i="2" s="1"/>
  <c r="A48" i="2" s="1"/>
  <c r="A49" i="2" s="1"/>
  <c r="A50" i="2" s="1"/>
  <c r="A51" i="2" s="1"/>
  <c r="A52" i="2" s="1"/>
  <c r="A53" i="2" s="1"/>
  <c r="A54" i="2" s="1"/>
  <c r="I40" i="1"/>
  <c r="G28" i="26"/>
  <c r="A21" i="17"/>
  <c r="A22" i="17" s="1"/>
  <c r="A23" i="17" s="1"/>
  <c r="G92" i="12"/>
  <c r="A71" i="7"/>
  <c r="E71" i="7"/>
  <c r="A45" i="26"/>
  <c r="A46" i="26" s="1"/>
  <c r="A47" i="26" s="1"/>
  <c r="A48" i="26" s="1"/>
  <c r="A49" i="26" s="1"/>
  <c r="A50" i="26" s="1"/>
  <c r="C72" i="26"/>
  <c r="I16" i="1"/>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A56" i="44"/>
  <c r="A57" i="44" s="1"/>
  <c r="G59" i="44" s="1"/>
  <c r="A46" i="1"/>
  <c r="A47" i="1" s="1"/>
  <c r="A48" i="1" s="1"/>
  <c r="H34" i="8" l="1"/>
  <c r="A34" i="8"/>
  <c r="C22" i="17"/>
  <c r="A72" i="7"/>
  <c r="A73" i="7" s="1"/>
  <c r="A74" i="7" s="1"/>
  <c r="A75" i="7" s="1"/>
  <c r="A76" i="7" s="1"/>
  <c r="A77" i="7" s="1"/>
  <c r="A78" i="7" s="1"/>
  <c r="A79" i="7" s="1"/>
  <c r="A80" i="7" s="1"/>
  <c r="A81" i="7" s="1"/>
  <c r="A82" i="7" s="1"/>
  <c r="A83" i="7" s="1"/>
  <c r="A84" i="7" s="1"/>
  <c r="A85" i="7" s="1"/>
  <c r="A86" i="7" s="1"/>
  <c r="E73" i="7"/>
  <c r="A118" i="11"/>
  <c r="A119" i="11" s="1"/>
  <c r="A120" i="11" s="1"/>
  <c r="A121" i="11" s="1"/>
  <c r="A122" i="11" s="1"/>
  <c r="A123" i="11" s="1"/>
  <c r="A124" i="11" s="1"/>
  <c r="A125" i="11" s="1"/>
  <c r="A126" i="11" s="1"/>
  <c r="A127" i="11" s="1"/>
  <c r="A128" i="11" s="1"/>
  <c r="A129" i="11" s="1"/>
  <c r="F69" i="11"/>
  <c r="A87" i="7"/>
  <c r="A88" i="7" s="1"/>
  <c r="A89" i="7" s="1"/>
  <c r="E88" i="7"/>
  <c r="E89" i="7"/>
  <c r="C23" i="17"/>
  <c r="I53" i="1"/>
  <c r="A98" i="12"/>
  <c r="G94" i="12"/>
  <c r="A137" i="11"/>
  <c r="A66" i="71"/>
  <c r="E79" i="7"/>
  <c r="I44" i="1"/>
  <c r="A58" i="44"/>
  <c r="A59" i="44" s="1"/>
  <c r="G65" i="44"/>
  <c r="A49" i="1"/>
  <c r="A50" i="1" s="1"/>
  <c r="A51" i="1" s="1"/>
  <c r="A52" i="1" s="1"/>
  <c r="C20" i="17" s="1"/>
  <c r="A38" i="8" l="1"/>
  <c r="H55" i="8"/>
  <c r="A138" i="11"/>
  <c r="A139" i="11" s="1"/>
  <c r="A140" i="11" s="1"/>
  <c r="A141" i="11" s="1"/>
  <c r="A142" i="11" s="1"/>
  <c r="A143" i="11" s="1"/>
  <c r="A144" i="11" s="1"/>
  <c r="A145" i="11" s="1"/>
  <c r="A146" i="11" s="1"/>
  <c r="A147" i="11" s="1"/>
  <c r="A148" i="11" s="1"/>
  <c r="A149" i="11" s="1"/>
  <c r="A157" i="11" s="1"/>
  <c r="A90" i="7"/>
  <c r="A91" i="7" s="1"/>
  <c r="I147" i="1" s="1"/>
  <c r="G90" i="44"/>
  <c r="A99" i="12"/>
  <c r="A100" i="12" s="1"/>
  <c r="A101" i="12" s="1"/>
  <c r="A53" i="1"/>
  <c r="A54" i="1" s="1"/>
  <c r="I52" i="1"/>
  <c r="A67" i="71"/>
  <c r="B183" i="71" s="1"/>
  <c r="E91" i="7"/>
  <c r="E80" i="7"/>
  <c r="E86" i="7"/>
  <c r="E84" i="7"/>
  <c r="G78" i="44"/>
  <c r="A64" i="44"/>
  <c r="A41" i="8" l="1"/>
  <c r="A42" i="8" s="1"/>
  <c r="A43" i="8" s="1"/>
  <c r="A44" i="8" s="1"/>
  <c r="A45" i="8" s="1"/>
  <c r="A48" i="8" s="1"/>
  <c r="H56" i="8"/>
  <c r="B187"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I54" i="1"/>
  <c r="G101" i="12"/>
  <c r="A55" i="1"/>
  <c r="A56" i="1" s="1"/>
  <c r="A58" i="1" s="1"/>
  <c r="F137" i="71"/>
  <c r="A68" i="71"/>
  <c r="B184" i="71" s="1"/>
  <c r="A65" i="44"/>
  <c r="A66" i="44" s="1"/>
  <c r="A67" i="44" s="1"/>
  <c r="A68" i="44" s="1"/>
  <c r="A69" i="44" s="1"/>
  <c r="A70" i="44" s="1"/>
  <c r="A49" i="8" l="1"/>
  <c r="A61" i="8" s="1"/>
  <c r="H59" i="8"/>
  <c r="A71" i="44"/>
  <c r="A72" i="44" s="1"/>
  <c r="G69" i="11"/>
  <c r="G25" i="12"/>
  <c r="A309" i="11"/>
  <c r="A312" i="11" s="1"/>
  <c r="A313" i="11" s="1"/>
  <c r="G66" i="44"/>
  <c r="I58" i="1"/>
  <c r="I56" i="1"/>
  <c r="A69" i="71"/>
  <c r="A77" i="71" s="1"/>
  <c r="F69" i="71"/>
  <c r="G79" i="44"/>
  <c r="I129" i="1"/>
  <c r="A63" i="1"/>
  <c r="A63" i="8" l="1"/>
  <c r="H63" i="8"/>
  <c r="G72" i="44"/>
  <c r="A73" i="44"/>
  <c r="A74" i="44" s="1"/>
  <c r="G26" i="12"/>
  <c r="A314" i="11"/>
  <c r="A317" i="11" s="1"/>
  <c r="A318" i="11" s="1"/>
  <c r="A78" i="71"/>
  <c r="A79" i="71" s="1"/>
  <c r="A80" i="71" s="1"/>
  <c r="A81" i="71" s="1"/>
  <c r="A82" i="71" s="1"/>
  <c r="A83" i="71" s="1"/>
  <c r="A84" i="71" s="1"/>
  <c r="A85" i="71" s="1"/>
  <c r="A86" i="71" s="1"/>
  <c r="A87" i="71" s="1"/>
  <c r="I88" i="71" s="1"/>
  <c r="A64" i="1"/>
  <c r="G67" i="8" l="1"/>
  <c r="A67" i="8"/>
  <c r="G74" i="44"/>
  <c r="G81" i="44"/>
  <c r="A77" i="44"/>
  <c r="A78" i="44" s="1"/>
  <c r="A79" i="44" s="1"/>
  <c r="A80" i="44" s="1"/>
  <c r="A81"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A88" i="71"/>
  <c r="A94" i="71" s="1"/>
  <c r="B192" i="71"/>
  <c r="A65" i="1"/>
  <c r="I64" i="1" s="1"/>
  <c r="A68" i="8" l="1"/>
  <c r="A69" i="8" s="1"/>
  <c r="G69" i="8"/>
  <c r="A87" i="44"/>
  <c r="A88" i="44" s="1"/>
  <c r="A89" i="44" s="1"/>
  <c r="A90" i="44" s="1"/>
  <c r="A91" i="44" s="1"/>
  <c r="A92" i="44" s="1"/>
  <c r="A93" i="44" s="1"/>
  <c r="I155" i="1" s="1"/>
  <c r="G88" i="44"/>
  <c r="A95" i="71"/>
  <c r="A96" i="71" s="1"/>
  <c r="A97" i="71" s="1"/>
  <c r="A98" i="71" s="1"/>
  <c r="A99" i="71" s="1"/>
  <c r="A100" i="71" s="1"/>
  <c r="A101" i="71" s="1"/>
  <c r="A102" i="71" s="1"/>
  <c r="A103" i="71" s="1"/>
  <c r="A104" i="71" s="1"/>
  <c r="A105" i="71" s="1"/>
  <c r="A111" i="71" s="1"/>
  <c r="A68" i="1"/>
  <c r="I83" i="1"/>
  <c r="A70" i="8" l="1"/>
  <c r="A71" i="8" s="1"/>
  <c r="B101" i="44"/>
  <c r="G93" i="44"/>
  <c r="G91" i="44"/>
  <c r="E36" i="2"/>
  <c r="E35" i="2"/>
  <c r="I105" i="71"/>
  <c r="A112" i="71"/>
  <c r="A113" i="71" s="1"/>
  <c r="F114" i="71" s="1"/>
  <c r="A69" i="1"/>
  <c r="A70" i="1" s="1"/>
  <c r="I69" i="1" s="1"/>
  <c r="A72" i="8" l="1"/>
  <c r="G72" i="8"/>
  <c r="F113" i="71"/>
  <c r="A114" i="71"/>
  <c r="A115" i="71" s="1"/>
  <c r="A120" i="71" s="1"/>
  <c r="F138" i="71"/>
  <c r="A73" i="1"/>
  <c r="I75" i="1" s="1"/>
  <c r="I84" i="1"/>
  <c r="E41" i="2" l="1"/>
  <c r="E42" i="2"/>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6" i="8" s="1"/>
  <c r="I89" i="1"/>
  <c r="G93" i="12" l="1"/>
  <c r="I15" i="12"/>
  <c r="A83" i="1"/>
  <c r="A84" i="1" s="1"/>
  <c r="A85" i="1" s="1"/>
  <c r="I81" i="1"/>
  <c r="G100" i="12" l="1"/>
  <c r="I90" i="1"/>
  <c r="A88" i="1"/>
  <c r="A89" i="1" s="1"/>
  <c r="F95" i="8" s="1"/>
  <c r="E21" i="7" l="1"/>
  <c r="F94" i="8"/>
  <c r="A90" i="1"/>
  <c r="I93" i="1" s="1"/>
  <c r="I91" i="1" l="1"/>
  <c r="A91" i="1"/>
  <c r="F25" i="71" l="1"/>
  <c r="A93" i="1"/>
  <c r="I95" i="1"/>
  <c r="F32" i="71" l="1"/>
  <c r="E22" i="7"/>
  <c r="I116" i="1"/>
  <c r="A95" i="1"/>
  <c r="A100" i="1" l="1"/>
  <c r="I131" i="1"/>
  <c r="A101" i="1" l="1"/>
  <c r="A102" i="1" s="1"/>
  <c r="F33" i="71" l="1"/>
  <c r="I16" i="12"/>
  <c r="H43" i="8"/>
  <c r="E23" i="7"/>
  <c r="G56" i="44"/>
  <c r="I117" i="1"/>
  <c r="E48" i="2"/>
  <c r="E47" i="2"/>
  <c r="I102" i="1"/>
  <c r="A105" i="1"/>
  <c r="A106" i="1" l="1"/>
  <c r="A107" i="1" s="1"/>
  <c r="A108" i="1" s="1"/>
  <c r="I108" i="1" l="1"/>
  <c r="H44" i="8"/>
  <c r="I118" i="1"/>
  <c r="A110" i="1"/>
  <c r="A112" i="1" s="1"/>
  <c r="H45" i="8" s="1"/>
  <c r="I132" i="1" l="1"/>
  <c r="A124" i="1"/>
  <c r="I110" i="1"/>
  <c r="A125" i="1" l="1"/>
  <c r="H49" i="8" s="1"/>
  <c r="H48" i="8"/>
  <c r="I17" i="1" l="1"/>
  <c r="E72" i="7"/>
  <c r="A126" i="1"/>
  <c r="H50" i="8" s="1"/>
  <c r="A127" i="1" l="1"/>
  <c r="H51" i="8" s="1"/>
  <c r="A128" i="1" l="1"/>
  <c r="H52" i="8" s="1"/>
  <c r="A129" i="1" l="1"/>
  <c r="H53" i="8" s="1"/>
  <c r="A130" i="1"/>
  <c r="H54" i="8" s="1"/>
  <c r="A131" i="1" l="1"/>
  <c r="A132" i="1" s="1"/>
  <c r="A133" i="1" s="1"/>
  <c r="H57" i="8" s="1"/>
  <c r="A134" i="1" l="1"/>
  <c r="A135" i="1" l="1"/>
  <c r="I136" i="1" s="1"/>
  <c r="H58" i="8"/>
  <c r="A136" i="1" l="1"/>
  <c r="A138" i="1" s="1"/>
  <c r="A139" i="1" s="1"/>
  <c r="G89" i="44" s="1"/>
  <c r="E54" i="2"/>
  <c r="E53" i="2"/>
  <c r="I141" i="1" l="1"/>
  <c r="A141" i="1"/>
  <c r="I146" i="1" s="1"/>
  <c r="E70" i="7"/>
  <c r="I138" i="1"/>
  <c r="I139" i="1"/>
  <c r="A146" i="1"/>
  <c r="A147" i="1" s="1"/>
  <c r="A148" i="1" s="1"/>
  <c r="A149" i="1" l="1"/>
  <c r="A151" i="1" s="1"/>
  <c r="I151" i="1" l="1"/>
  <c r="A154" i="1"/>
  <c r="A155" i="1" s="1"/>
  <c r="A156" i="1" s="1"/>
  <c r="G4" i="31" s="1"/>
  <c r="I154" i="1"/>
  <c r="I156" i="1" l="1"/>
</calcChain>
</file>

<file path=xl/comments1.xml><?xml version="1.0" encoding="utf-8"?>
<comments xmlns="http://schemas.openxmlformats.org/spreadsheetml/2006/main">
  <authors>
    <author>Hansen, Berton J</author>
  </authors>
  <commentList>
    <comment ref="K105" authorId="0" shapeId="0">
      <text>
        <r>
          <rPr>
            <sz val="9"/>
            <color indexed="81"/>
            <rFont val="Tahoma"/>
            <family val="2"/>
          </rPr>
          <t>Add yellow-shading to this cell, so that it is an input</t>
        </r>
      </text>
    </comment>
  </commentList>
</comments>
</file>

<file path=xl/comments2.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<sst xmlns="http://schemas.openxmlformats.org/spreadsheetml/2006/main" count="8079" uniqueCount="2694">
  <si>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</si>
  <si>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</si>
  <si>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</si>
  <si>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</si>
  <si>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</si>
  <si>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</si>
  <si>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</si>
  <si>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</si>
  <si>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</si>
  <si>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</si>
  <si>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</si>
  <si>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</si>
  <si>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</si>
  <si>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</si>
  <si>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</si>
  <si>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</si>
  <si>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</si>
  <si>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</si>
  <si>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</si>
  <si>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</si>
  <si>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</si>
  <si>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</si>
  <si>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</si>
  <si>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</si>
  <si>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</si>
  <si>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</si>
  <si>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</si>
  <si>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</si>
  <si>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</si>
  <si>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</si>
  <si>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</si>
  <si>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</si>
  <si>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</si>
  <si>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</si>
  <si>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</si>
  <si>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Factor</t>
  </si>
  <si>
    <t>State</t>
  </si>
  <si>
    <t>1) Federal Income Tax rate</t>
  </si>
  <si>
    <t>Federal</t>
  </si>
  <si>
    <t>2) Composite State Income Tax Rate</t>
  </si>
  <si>
    <t>Fed Ins Cont Amt -- Current</t>
  </si>
  <si>
    <t>FICA/OASDI Emp Incntv.</t>
  </si>
  <si>
    <t>FICA/HIT Emp Incntv.</t>
  </si>
  <si>
    <t>Preferred Stock Amount -- Account 204</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</si>
  <si>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</si>
  <si>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</si>
  <si>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</si>
  <si>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</si>
  <si>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</si>
  <si>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</si>
  <si>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</si>
  <si>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</si>
  <si>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</si>
  <si>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</si>
  <si>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</si>
  <si>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</si>
  <si>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</si>
  <si>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</si>
  <si>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</si>
  <si>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</si>
  <si>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</si>
  <si>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</si>
  <si>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</si>
  <si>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</si>
  <si>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</si>
  <si>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</si>
  <si>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</si>
  <si>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</si>
  <si>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</si>
  <si>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</si>
  <si>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</si>
  <si>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</si>
  <si>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</si>
  <si>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</si>
  <si>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</si>
  <si>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</si>
  <si>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</si>
  <si>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</si>
  <si>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</si>
  <si>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</si>
  <si>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</si>
  <si>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</si>
  <si>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</si>
  <si>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</si>
  <si>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</si>
  <si>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</si>
  <si>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</si>
  <si>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</si>
  <si>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</si>
  <si>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</si>
  <si>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</si>
  <si>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</si>
  <si>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</si>
  <si>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</si>
  <si>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</si>
  <si>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</si>
  <si>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</si>
  <si>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</si>
  <si>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</si>
  <si>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</si>
  <si>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</si>
  <si>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</si>
  <si>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</si>
  <si>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</si>
  <si>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</si>
  <si>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</si>
  <si>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</si>
  <si>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</si>
  <si>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</si>
  <si>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</si>
  <si>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</si>
  <si>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</si>
  <si>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</si>
  <si>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</si>
  <si>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</si>
  <si>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</si>
  <si>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</si>
  <si>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</si>
  <si>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</si>
  <si>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</si>
  <si>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</si>
  <si>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</si>
  <si>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</si>
  <si>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</si>
  <si>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</si>
  <si>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</si>
  <si>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</si>
  <si>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</si>
  <si>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</si>
  <si>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</si>
  <si>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</si>
  <si>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</si>
  <si>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</si>
  <si>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</si>
  <si>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</si>
  <si>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</si>
  <si>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</si>
  <si>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</si>
  <si>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</si>
  <si>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</si>
  <si>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</si>
  <si>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</si>
  <si>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</si>
  <si>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Calculation of Low Voltage Access Charge:</t>
  </si>
  <si>
    <t>per kWh</t>
  </si>
  <si>
    <t>Calculation of High Voltage Utility Specific Rate:</t>
  </si>
  <si>
    <t>(used by ISO in billing of ISO TAC)</t>
  </si>
  <si>
    <t>SCE HV TRR =</t>
  </si>
  <si>
    <t>Calculation of High Voltage Existing Contracts Access Charge:</t>
  </si>
  <si>
    <t>MW</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</si>
  <si>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</si>
  <si>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</si>
  <si>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</si>
  <si>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</si>
  <si>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</si>
  <si>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</si>
  <si>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</si>
  <si>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</si>
  <si>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</si>
  <si>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</si>
  <si>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1) Calculation of Materials and Supplies</t>
  </si>
  <si>
    <t>FF1 111.57d</t>
  </si>
  <si>
    <t>FF1 111.57c</t>
  </si>
  <si>
    <t>Prepayments:</t>
  </si>
  <si>
    <t>Accumulated Depreciation Reserve</t>
  </si>
  <si>
    <t>Accumulated Deferred Income Taxes</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</si>
  <si>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</si>
  <si>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</si>
  <si>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</si>
  <si>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</si>
  <si>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</si>
  <si>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</si>
  <si>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</si>
  <si>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</si>
  <si>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</si>
  <si>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</si>
  <si>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</si>
  <si>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</si>
  <si>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</si>
  <si>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</si>
  <si>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</si>
  <si>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</si>
  <si>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</si>
  <si>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</si>
  <si>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</si>
  <si>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</si>
  <si>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</si>
  <si>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</si>
  <si>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</si>
  <si>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</si>
  <si>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</si>
  <si>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</si>
  <si>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</si>
  <si>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</si>
  <si>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</si>
  <si>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</si>
  <si>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</si>
  <si>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</si>
  <si>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</si>
  <si>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</si>
  <si>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</si>
  <si>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</si>
  <si>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</si>
  <si>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</si>
  <si>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</si>
  <si>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</si>
  <si>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</si>
  <si>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</si>
  <si>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</si>
  <si>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</si>
  <si>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</si>
  <si>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</si>
  <si>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</si>
  <si>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</si>
  <si>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</si>
  <si>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</si>
  <si>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</si>
  <si>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</si>
  <si>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</si>
  <si>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</si>
  <si>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</si>
  <si>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</si>
  <si>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</si>
  <si>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</si>
  <si>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</si>
  <si>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</si>
  <si>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</si>
  <si>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</si>
  <si>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</si>
  <si>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</si>
  <si>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</si>
  <si>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</si>
  <si>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</si>
  <si>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</si>
  <si>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</si>
  <si>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</si>
  <si>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</si>
  <si>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</si>
  <si>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</si>
  <si>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</si>
  <si>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</si>
  <si>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</si>
  <si>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</si>
  <si>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</si>
  <si>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</si>
  <si>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</si>
  <si>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</si>
  <si>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</si>
  <si>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</si>
  <si>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</si>
  <si>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</si>
  <si>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</si>
  <si>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</si>
  <si>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</si>
  <si>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</si>
  <si>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</si>
  <si>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</si>
  <si>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</si>
  <si>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</si>
  <si>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</si>
  <si>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</si>
  <si>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</si>
  <si>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</si>
  <si>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</si>
  <si>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</si>
  <si>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</si>
  <si>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</si>
  <si>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</si>
  <si>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</si>
  <si>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</si>
  <si>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</si>
  <si>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</si>
  <si>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Common Stock Equity Amount</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</si>
  <si>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</si>
  <si>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</si>
  <si>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</si>
  <si>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</si>
  <si>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</si>
  <si>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</si>
  <si>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</si>
  <si>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</si>
  <si>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</si>
  <si>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</si>
  <si>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</si>
  <si>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See Note 3</t>
  </si>
  <si>
    <t>MWh</t>
  </si>
  <si>
    <t>FF1 354.28b</t>
  </si>
  <si>
    <t>FF1 354.27b</t>
  </si>
  <si>
    <t>Uncollectibles Expense</t>
  </si>
  <si>
    <t>Franchise Fees Expense</t>
  </si>
  <si>
    <t>Difference</t>
  </si>
  <si>
    <t>(1/(1-CTR))</t>
  </si>
  <si>
    <t>Composite Tax Rate ("CTR")</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</si>
  <si>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</si>
  <si>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</si>
  <si>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</si>
  <si>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</si>
  <si>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</si>
  <si>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</si>
  <si>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</si>
  <si>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</si>
  <si>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</si>
  <si>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</si>
  <si>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</si>
  <si>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</si>
  <si>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</si>
  <si>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</si>
  <si>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</si>
  <si>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</si>
  <si>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</si>
  <si>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</si>
  <si>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</si>
  <si>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</si>
  <si>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</si>
  <si>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</si>
  <si>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</si>
  <si>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</si>
  <si>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</si>
  <si>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</si>
  <si>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</si>
  <si>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</si>
  <si>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</si>
  <si>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</si>
  <si>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</si>
  <si>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</si>
  <si>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</si>
  <si>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</si>
  <si>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</si>
  <si>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</si>
  <si>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</si>
  <si>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</si>
  <si>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</si>
  <si>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</si>
  <si>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</si>
  <si>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</si>
  <si>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</si>
  <si>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</si>
  <si>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</si>
  <si>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</si>
  <si>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</si>
  <si>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</si>
  <si>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</si>
  <si>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</si>
  <si>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1) Forecast Plant Additions * AFCR</t>
  </si>
  <si>
    <t>2) Forecast Period Incremental CWIP * AFCR for CWIP</t>
  </si>
  <si>
    <t>Devers to</t>
  </si>
  <si>
    <t>Colorado River</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</si>
  <si>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</si>
  <si>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</si>
  <si>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</si>
  <si>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</si>
  <si>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</si>
  <si>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</si>
  <si>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</si>
  <si>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</si>
  <si>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</si>
  <si>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</si>
  <si>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</si>
  <si>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</si>
  <si>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</si>
  <si>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</si>
  <si>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</si>
  <si>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</si>
  <si>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</si>
  <si>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</si>
  <si>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</si>
  <si>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</si>
  <si>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</si>
  <si>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</si>
  <si>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</si>
  <si>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</si>
  <si>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</si>
  <si>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</si>
  <si>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</si>
  <si>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</si>
  <si>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</si>
  <si>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</si>
  <si>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</si>
  <si>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</si>
  <si>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</si>
  <si>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</si>
  <si>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</si>
  <si>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</si>
  <si>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</si>
  <si>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</si>
  <si>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</si>
  <si>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</si>
  <si>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</si>
  <si>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</si>
  <si>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</si>
  <si>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</si>
  <si>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</si>
  <si>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</si>
  <si>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</si>
  <si>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</si>
  <si>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</si>
  <si>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</si>
  <si>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</si>
  <si>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</si>
  <si>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</si>
  <si>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</si>
  <si>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</si>
  <si>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</si>
  <si>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</si>
  <si>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</si>
  <si>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</si>
  <si>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</si>
  <si>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Prior</t>
  </si>
  <si>
    <t>Income Tax</t>
  </si>
  <si>
    <t>Rate ("FITR")</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</si>
  <si>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</si>
  <si>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</si>
  <si>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</si>
  <si>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</si>
  <si>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</si>
  <si>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</si>
  <si>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</si>
  <si>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</si>
  <si>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</si>
  <si>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</si>
  <si>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</si>
  <si>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</si>
  <si>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</si>
  <si>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</si>
  <si>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</si>
  <si>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</si>
  <si>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</si>
  <si>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</si>
  <si>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</si>
  <si>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</si>
  <si>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</si>
  <si>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</si>
  <si>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</si>
  <si>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</si>
  <si>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</si>
  <si>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</si>
  <si>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</si>
  <si>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</si>
  <si>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</si>
  <si>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</si>
  <si>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</si>
  <si>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</si>
  <si>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</si>
  <si>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</si>
  <si>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</si>
  <si>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</si>
  <si>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</si>
  <si>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</si>
  <si>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</si>
  <si>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</si>
  <si>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</si>
  <si>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</si>
  <si>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</si>
  <si>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</si>
  <si>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</si>
  <si>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</si>
  <si>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</si>
  <si>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</si>
  <si>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</si>
  <si>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</si>
  <si>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</si>
  <si>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</si>
  <si>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</si>
  <si>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</si>
  <si>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</si>
  <si>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</si>
  <si>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</si>
  <si>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</si>
  <si>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</si>
  <si>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</si>
  <si>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</si>
  <si>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</si>
  <si>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</si>
  <si>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</si>
  <si>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</si>
  <si>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</si>
  <si>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</si>
  <si>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</si>
  <si>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</si>
  <si>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</si>
  <si>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</si>
  <si>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A) Total ISO Plant from Prior Year</t>
  </si>
  <si>
    <t>FERC Form 1</t>
  </si>
  <si>
    <t>Total Amount Excluded</t>
  </si>
  <si>
    <t>Shareholder</t>
  </si>
  <si>
    <t>Franchise</t>
  </si>
  <si>
    <t>Requirements</t>
  </si>
  <si>
    <t>PBOPs</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</si>
  <si>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</si>
  <si>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</si>
  <si>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</si>
  <si>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</si>
  <si>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</si>
  <si>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</si>
  <si>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</si>
  <si>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</si>
  <si>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</si>
  <si>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</si>
  <si>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</si>
  <si>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</si>
  <si>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</si>
  <si>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</si>
  <si>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3) FF and U Factors</t>
  </si>
  <si>
    <t>1) Approved Franchise Fee Factor(s)</t>
  </si>
  <si>
    <t>Sum of Column 2 below</t>
  </si>
  <si>
    <t>a) Fill in Description for issue in above table.</t>
  </si>
  <si>
    <t>b) Enter costs in columns 1-3 in above table for the applicable Prior Year.</t>
  </si>
  <si>
    <t>Actual</t>
  </si>
  <si>
    <t>First Project:</t>
  </si>
  <si>
    <t>Fill in Name</t>
  </si>
  <si>
    <t>…</t>
  </si>
  <si>
    <t>2nd Project:</t>
  </si>
  <si>
    <t>(BOY value is EOY value from previous year)</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</si>
  <si>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</si>
  <si>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</si>
  <si>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</si>
  <si>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</si>
  <si>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</si>
  <si>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</si>
  <si>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</si>
  <si>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</si>
  <si>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</si>
  <si>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</si>
  <si>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</si>
  <si>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</si>
  <si>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</si>
  <si>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</si>
  <si>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</si>
  <si>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</si>
  <si>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</si>
  <si>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</si>
  <si>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</si>
  <si>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</si>
  <si>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</si>
  <si>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</si>
  <si>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</si>
  <si>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</si>
  <si>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</si>
  <si>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</si>
  <si>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</si>
  <si>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</si>
  <si>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</si>
  <si>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</si>
  <si>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</si>
  <si>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</si>
  <si>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</si>
  <si>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</si>
  <si>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</si>
  <si>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</si>
  <si>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</si>
  <si>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</si>
  <si>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</si>
  <si>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</si>
  <si>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</si>
  <si>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</si>
  <si>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</si>
  <si>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</si>
  <si>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</si>
  <si>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</si>
  <si>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</si>
  <si>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</si>
  <si>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</si>
  <si>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</si>
  <si>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</si>
  <si>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</si>
  <si>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</si>
  <si>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</si>
  <si>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</si>
  <si>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</si>
  <si>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</si>
  <si>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</si>
  <si>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</si>
  <si>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</si>
  <si>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</si>
  <si>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</si>
  <si>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</si>
  <si>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</si>
  <si>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</si>
  <si>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</si>
  <si>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</si>
  <si>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</si>
  <si>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</si>
  <si>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</si>
  <si>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</si>
  <si>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</si>
  <si>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</si>
  <si>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</si>
  <si>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</si>
  <si>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</si>
  <si>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</si>
  <si>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</si>
  <si>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</si>
  <si>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</si>
  <si>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</si>
  <si>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</si>
  <si>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</si>
  <si>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</si>
  <si>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</si>
  <si>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</si>
  <si>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</si>
  <si>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</si>
  <si>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</si>
  <si>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</si>
  <si>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</si>
  <si>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</si>
  <si>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</si>
  <si>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</si>
  <si>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</si>
  <si>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</si>
  <si>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</si>
  <si>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</si>
  <si>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</si>
  <si>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</si>
  <si>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</si>
  <si>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</si>
  <si>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</si>
  <si>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</si>
  <si>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</si>
  <si>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</si>
  <si>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</si>
  <si>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</si>
  <si>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</si>
  <si>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</si>
  <si>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</si>
  <si>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</si>
  <si>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</si>
  <si>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</si>
  <si>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</si>
  <si>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</si>
  <si>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</si>
  <si>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</si>
  <si>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</si>
  <si>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</si>
  <si>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10h</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</si>
  <si>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</si>
  <si>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</si>
  <si>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</si>
  <si>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</si>
  <si>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</si>
  <si>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</si>
  <si>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</si>
  <si>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</si>
  <si>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</si>
  <si>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</si>
  <si>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</si>
  <si>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</si>
  <si>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</si>
  <si>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</si>
  <si>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</si>
  <si>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</si>
  <si>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</si>
  <si>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</si>
  <si>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</si>
  <si>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</si>
  <si>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</si>
  <si>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</si>
  <si>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</si>
  <si>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</si>
  <si>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</si>
  <si>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</si>
  <si>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</si>
  <si>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</si>
  <si>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</si>
  <si>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</si>
  <si>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</si>
  <si>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</si>
  <si>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</si>
  <si>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</si>
  <si>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</si>
  <si>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</si>
  <si>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</si>
  <si>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</si>
  <si>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</si>
  <si>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</si>
  <si>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</si>
  <si>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</si>
  <si>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</si>
  <si>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</si>
  <si>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</si>
  <si>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</si>
  <si>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</si>
  <si>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</si>
  <si>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</si>
  <si>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</si>
  <si>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</si>
  <si>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</si>
  <si>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</si>
  <si>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</si>
  <si>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</si>
  <si>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</si>
  <si>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</si>
  <si>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</si>
  <si>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</si>
  <si>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</si>
  <si>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</si>
  <si>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</si>
  <si>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</si>
  <si>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</si>
  <si>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</si>
  <si>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</si>
  <si>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</si>
  <si>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</si>
  <si>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</si>
  <si>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</si>
  <si>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</si>
  <si>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</si>
  <si>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</si>
  <si>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</si>
  <si>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</si>
  <si>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</si>
  <si>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</si>
  <si>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</si>
  <si>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</si>
  <si>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</si>
  <si>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</si>
  <si>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</si>
  <si>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</si>
  <si>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</si>
  <si>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</si>
  <si>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</si>
  <si>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</si>
  <si>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</si>
  <si>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</si>
  <si>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</si>
  <si>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</si>
  <si>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</si>
  <si>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</si>
  <si>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</si>
  <si>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</si>
  <si>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</si>
  <si>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</si>
  <si>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</si>
  <si>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</si>
  <si>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</si>
  <si>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</si>
  <si>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</si>
  <si>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</si>
  <si>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</si>
  <si>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12u</t>
  </si>
  <si>
    <t>4186524</t>
  </si>
  <si>
    <t>Revenue From Scrap Paper - General Office</t>
  </si>
  <si>
    <t>12v</t>
  </si>
  <si>
    <t>4186528</t>
  </si>
  <si>
    <t>CTAC Revenues</t>
  </si>
  <si>
    <t>12w</t>
  </si>
  <si>
    <t>4186530</t>
  </si>
  <si>
    <t>AGTAC Revenues</t>
  </si>
  <si>
    <t>12x</t>
  </si>
  <si>
    <t>12y</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</si>
  <si>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</si>
  <si>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</si>
  <si>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</si>
  <si>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</si>
  <si>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</si>
  <si>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</si>
  <si>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</si>
  <si>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</si>
  <si>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</si>
  <si>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</si>
  <si>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</si>
  <si>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</si>
  <si>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</si>
  <si>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</si>
  <si>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</si>
  <si>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</si>
  <si>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</si>
  <si>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</si>
  <si>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</si>
  <si>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</si>
  <si>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</si>
  <si>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</si>
  <si>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</si>
  <si>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</si>
  <si>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</si>
  <si>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</si>
  <si>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</si>
  <si>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</si>
  <si>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</si>
  <si>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</si>
  <si>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</si>
  <si>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</si>
  <si>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</si>
  <si>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</si>
  <si>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</si>
  <si>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</si>
  <si>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</si>
  <si>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</si>
  <si>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</si>
  <si>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</si>
  <si>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</si>
  <si>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</si>
  <si>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</si>
  <si>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12pp</t>
  </si>
  <si>
    <t>4196105</t>
  </si>
  <si>
    <t>DA Revenue</t>
  </si>
  <si>
    <t>12qq</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</si>
  <si>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</si>
  <si>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</si>
  <si>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</si>
  <si>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</si>
  <si>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</si>
  <si>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</si>
  <si>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</si>
  <si>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</si>
  <si>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</si>
  <si>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</si>
  <si>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</si>
  <si>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</si>
  <si>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</si>
  <si>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</si>
  <si>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</si>
  <si>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</si>
  <si>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</si>
  <si>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</si>
  <si>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</si>
  <si>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</si>
  <si>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</si>
  <si>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4196184</t>
  </si>
  <si>
    <t>DMS Service Fees</t>
  </si>
  <si>
    <t>4196188</t>
  </si>
  <si>
    <t>CCA - Information Fees</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</si>
  <si>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</si>
  <si>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</si>
  <si>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</si>
  <si>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</si>
  <si>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</si>
  <si>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</si>
  <si>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</si>
  <si>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</si>
  <si>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</si>
  <si>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</si>
  <si>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</si>
  <si>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</si>
  <si>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</si>
  <si>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</si>
  <si>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</si>
  <si>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</si>
  <si>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</si>
  <si>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</si>
  <si>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</si>
  <si>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</si>
  <si>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</si>
  <si>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</si>
  <si>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</si>
  <si>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</si>
  <si>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</si>
  <si>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</si>
  <si>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</si>
  <si>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</si>
  <si>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</si>
  <si>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</si>
  <si>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</si>
  <si>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</si>
  <si>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</si>
  <si>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</si>
  <si>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</si>
  <si>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</si>
  <si>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</si>
  <si>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</si>
  <si>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</si>
  <si>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</si>
  <si>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</si>
  <si>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</si>
  <si>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</si>
  <si>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</si>
  <si>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</si>
  <si>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</si>
  <si>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</si>
  <si>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</si>
  <si>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4198130</t>
  </si>
  <si>
    <t>Inland Empire CRT Tie-Line EX</t>
  </si>
  <si>
    <t>4198910</t>
  </si>
  <si>
    <t>Reliability Service Revenue - Non-PTO's</t>
  </si>
  <si>
    <t>456.1 Total</t>
  </si>
  <si>
    <t>18a</t>
  </si>
  <si>
    <t>457.1 Total</t>
  </si>
  <si>
    <t>21a</t>
  </si>
  <si>
    <t>457.2 Total</t>
  </si>
  <si>
    <t>Edison Carrier Solutions (ECS)</t>
  </si>
  <si>
    <t>24a</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</si>
  <si>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</si>
  <si>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</si>
  <si>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</si>
  <si>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</si>
  <si>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</si>
  <si>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</si>
  <si>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</si>
  <si>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</si>
  <si>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</si>
  <si>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</si>
  <si>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</si>
  <si>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</si>
  <si>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</si>
  <si>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</si>
  <si>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</si>
  <si>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</si>
  <si>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</si>
  <si>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</si>
  <si>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</si>
  <si>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</si>
  <si>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</si>
  <si>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</si>
  <si>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</si>
  <si>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ECS - Micro Cell</t>
  </si>
  <si>
    <t>ECS - End User Universal Service Fund Fee</t>
  </si>
  <si>
    <t>417 ECS Total</t>
  </si>
  <si>
    <t>417 Other</t>
  </si>
  <si>
    <t>Subsidiaries</t>
  </si>
  <si>
    <t>28a</t>
  </si>
  <si>
    <t>ESI (Gross Revenues - Active)</t>
  </si>
  <si>
    <t>2,9</t>
  </si>
  <si>
    <t>28b</t>
  </si>
  <si>
    <t>ESI (Gross Revenues - Passive)</t>
  </si>
  <si>
    <t>28c</t>
  </si>
  <si>
    <t>Mono Power Company</t>
  </si>
  <si>
    <t>28d</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</si>
  <si>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</si>
  <si>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</si>
  <si>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</si>
  <si>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</si>
  <si>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</si>
  <si>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</si>
  <si>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</si>
  <si>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</si>
  <si>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</si>
  <si>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</si>
  <si>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</si>
  <si>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</si>
  <si>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</si>
  <si>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</si>
  <si>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</si>
  <si>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</si>
  <si>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</si>
  <si>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</si>
  <si>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</si>
  <si>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</si>
  <si>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</si>
  <si>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</si>
  <si>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</si>
  <si>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</si>
  <si>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</si>
  <si>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</si>
  <si>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</si>
  <si>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</si>
  <si>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</si>
  <si>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</si>
  <si>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</si>
  <si>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</si>
  <si>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</si>
  <si>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</si>
  <si>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</si>
  <si>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</si>
  <si>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</si>
  <si>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</si>
  <si>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</si>
  <si>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</si>
  <si>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</si>
  <si>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</si>
  <si>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</si>
  <si>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</si>
  <si>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</si>
  <si>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TRR</t>
  </si>
  <si>
    <t>with Interest</t>
  </si>
  <si>
    <t>Balance</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</si>
  <si>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</si>
  <si>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</si>
  <si>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</si>
  <si>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</si>
  <si>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</si>
  <si>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</si>
  <si>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</si>
  <si>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</si>
  <si>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</si>
  <si>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</si>
  <si>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</si>
  <si>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</si>
  <si>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</si>
  <si>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</si>
  <si>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</si>
  <si>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</si>
  <si>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</si>
  <si>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</si>
  <si>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</si>
  <si>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</si>
  <si>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</si>
  <si>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</si>
  <si>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</si>
  <si>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</si>
  <si>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</si>
  <si>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</si>
  <si>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</si>
  <si>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</si>
  <si>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</si>
  <si>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</si>
  <si>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</si>
  <si>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</si>
  <si>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</si>
  <si>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</si>
  <si>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</si>
  <si>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</si>
  <si>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</si>
  <si>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</si>
  <si>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5) Red Bluff</t>
  </si>
  <si>
    <t>6) Whirlwind Substation Exp.</t>
  </si>
  <si>
    <t>7) Colorado River Sub. Exp.</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</si>
  <si>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</si>
  <si>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</si>
  <si>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</si>
  <si>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</si>
  <si>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</si>
  <si>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</si>
  <si>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</si>
  <si>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</si>
  <si>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</si>
  <si>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</si>
  <si>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</si>
  <si>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</si>
  <si>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</si>
  <si>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</si>
  <si>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</si>
  <si>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</si>
  <si>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</si>
  <si>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</si>
  <si>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</si>
  <si>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</si>
  <si>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</si>
  <si>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</si>
  <si>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</si>
  <si>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</si>
  <si>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</si>
  <si>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</si>
  <si>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</si>
  <si>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</si>
  <si>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</si>
  <si>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</si>
  <si>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</si>
  <si>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</si>
  <si>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</si>
  <si>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</si>
  <si>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</si>
  <si>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</si>
  <si>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</si>
  <si>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</si>
  <si>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</si>
  <si>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</si>
  <si>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</si>
  <si>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</si>
  <si>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</si>
  <si>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</si>
  <si>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</si>
  <si>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</si>
  <si>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</si>
  <si>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</si>
  <si>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</si>
  <si>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</si>
  <si>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</si>
  <si>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</si>
  <si>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wo Interest for</t>
  </si>
  <si>
    <t>for Current</t>
  </si>
  <si>
    <t>Current Month</t>
  </si>
  <si>
    <t>See Note 9</t>
  </si>
  <si>
    <t>See Note 10</t>
  </si>
  <si>
    <t>Shortfall or Excess Revenue in Prior Year:</t>
  </si>
  <si>
    <t>TRR AAF</t>
  </si>
  <si>
    <t>Actual Retail Base Transmission Revenues for any months not included in True Up Period.</t>
  </si>
  <si>
    <t>3) "Actual Retail Base Transmission Revenues" are SCE retail transmission revenues attributable to this formula transmission rate.</t>
  </si>
  <si>
    <t>7) Interest for Current Month is calculated on average of beginning and ending balances (Column 9 previous month and Column 7 current month).</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</si>
  <si>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</si>
  <si>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</si>
  <si>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</si>
  <si>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</si>
  <si>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</si>
  <si>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</si>
  <si>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</si>
  <si>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</si>
  <si>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FF1 113.56c</t>
  </si>
  <si>
    <t>Average Outstanding Network Upgrade Credits Beginning and End of Year</t>
  </si>
  <si>
    <t>Interest On Network Upgrade Credits Recorded in FERC Acct 242</t>
  </si>
  <si>
    <t>Acct 242 Other</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</si>
  <si>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</si>
  <si>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</si>
  <si>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</si>
  <si>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</si>
  <si>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</si>
  <si>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</si>
  <si>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</si>
  <si>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</si>
  <si>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</si>
  <si>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</si>
  <si>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</si>
  <si>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</si>
  <si>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</si>
  <si>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</si>
  <si>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</si>
  <si>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</si>
  <si>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</si>
  <si>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</si>
  <si>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</si>
  <si>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</si>
  <si>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</si>
  <si>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</si>
  <si>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</si>
  <si>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</si>
  <si>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</si>
  <si>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</si>
  <si>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</si>
  <si>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</si>
  <si>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</si>
  <si>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</si>
  <si>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</si>
  <si>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</si>
  <si>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</si>
  <si>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</si>
  <si>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G) Red Bluff Incentives Received:</t>
  </si>
  <si>
    <t>H) Whirlwind Substation Expansion Incentives Received:</t>
  </si>
  <si>
    <t>I) Colorado River Substation Expansion Incentives Received:</t>
  </si>
  <si>
    <t>L) Future Incentive Projects</t>
  </si>
  <si>
    <t>Commission decision.</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</si>
  <si>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</si>
  <si>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</si>
  <si>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</si>
  <si>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</si>
  <si>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</si>
  <si>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</si>
  <si>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</si>
  <si>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</si>
  <si>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</si>
  <si>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</si>
  <si>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</si>
  <si>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</si>
  <si>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</si>
  <si>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</si>
  <si>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</si>
  <si>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</si>
  <si>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</si>
  <si>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</si>
  <si>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</si>
  <si>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</si>
  <si>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</si>
  <si>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</si>
  <si>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</si>
  <si>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</si>
  <si>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</si>
  <si>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</si>
  <si>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</si>
  <si>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</si>
  <si>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</si>
  <si>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</si>
  <si>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</si>
  <si>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</si>
  <si>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</si>
  <si>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</si>
  <si>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</si>
  <si>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</si>
  <si>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</si>
  <si>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</si>
  <si>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</si>
  <si>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</si>
  <si>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</si>
  <si>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</si>
  <si>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</si>
  <si>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</si>
  <si>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</si>
  <si>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</si>
  <si>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</si>
  <si>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</si>
  <si>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</si>
  <si>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</si>
  <si>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</si>
  <si>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</si>
  <si>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</si>
  <si>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</si>
  <si>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</si>
  <si>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</si>
  <si>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</si>
  <si>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</si>
  <si>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</si>
  <si>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</si>
  <si>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</si>
  <si>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</si>
  <si>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</si>
  <si>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</si>
  <si>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</si>
  <si>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</si>
  <si>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</si>
  <si>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</si>
  <si>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</si>
  <si>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Note 11</t>
  </si>
  <si>
    <t>Energy Charge - $/kWh</t>
  </si>
  <si>
    <t>Rate Schedules in each CPUC Rate Group:</t>
  </si>
  <si>
    <t>Rate Schedules included in Each Rate Group in the Rate Effective Period</t>
  </si>
  <si>
    <t>Recorded 12-CP Load Data by Rate Group (MW)</t>
  </si>
  <si>
    <t>Line losses</t>
  </si>
  <si>
    <t>28e</t>
  </si>
  <si>
    <t>Calculation of Plant Held for Future Use</t>
  </si>
  <si>
    <t>Plant In Service</t>
  </si>
  <si>
    <t>13-Mo. Avg:</t>
  </si>
  <si>
    <t>Sum C2 - C4</t>
  </si>
  <si>
    <t>Average:</t>
  </si>
  <si>
    <t>G&amp;I Plant</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</si>
  <si>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</si>
  <si>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</si>
  <si>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</si>
  <si>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</si>
  <si>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</si>
  <si>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</si>
  <si>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</si>
  <si>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</si>
  <si>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</si>
  <si>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</si>
  <si>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</si>
  <si>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</si>
  <si>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</si>
  <si>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</si>
  <si>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</si>
  <si>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</si>
  <si>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</si>
  <si>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</si>
  <si>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</si>
  <si>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</si>
  <si>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</si>
  <si>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</si>
  <si>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</si>
  <si>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</si>
  <si>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</si>
  <si>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</si>
  <si>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</si>
  <si>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</si>
  <si>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</si>
  <si>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</si>
  <si>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</si>
  <si>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</si>
  <si>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</si>
  <si>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</si>
  <si>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</si>
  <si>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</si>
  <si>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</si>
  <si>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</si>
  <si>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</si>
  <si>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</si>
  <si>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</si>
  <si>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</si>
  <si>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</si>
  <si>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</si>
  <si>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</si>
  <si>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</si>
  <si>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</si>
  <si>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</si>
  <si>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</si>
  <si>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</si>
  <si>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</si>
  <si>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</si>
  <si>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</si>
  <si>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</si>
  <si>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</si>
  <si>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</si>
  <si>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</si>
  <si>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</si>
  <si>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</si>
  <si>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</si>
  <si>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</si>
  <si>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</si>
  <si>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</si>
  <si>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Red Bluff:</t>
  </si>
  <si>
    <t>Whirlwind Sub Expansion:</t>
  </si>
  <si>
    <t>Colorado River Sub Expansion:</t>
  </si>
  <si>
    <t>South of Kramer:</t>
  </si>
  <si>
    <t>West of Devers:</t>
  </si>
  <si>
    <t>PY Total Return, Taxes, Incentive:</t>
  </si>
  <si>
    <t>Total without FF&amp;U:</t>
  </si>
  <si>
    <t>Total Contribution of CWIP to Retail Base TRR:</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</si>
  <si>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</si>
  <si>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</si>
  <si>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</si>
  <si>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</si>
  <si>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</si>
  <si>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</si>
  <si>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</si>
  <si>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</si>
  <si>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</si>
  <si>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</si>
  <si>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</si>
  <si>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</si>
  <si>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</si>
  <si>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</si>
  <si>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Sylmar/Palo Verde</t>
  </si>
  <si>
    <t>561.400 Scheduling, System Control and Dispatch Services</t>
  </si>
  <si>
    <t>562 - MOGS Station Expense</t>
  </si>
  <si>
    <t>562 - Sylmar/Palo Verde</t>
  </si>
  <si>
    <t>564 - Underground Line Expense</t>
  </si>
  <si>
    <t>565 - Wheeling Costs</t>
  </si>
  <si>
    <t>565 - WAPA Transmission for Remote Service</t>
  </si>
  <si>
    <t>566 - ISO/RSBA/TSP Balancing Accounts</t>
  </si>
  <si>
    <t>566 - Sylmar/Palo Verde/Other General Functions</t>
  </si>
  <si>
    <t>567 - Eldorado</t>
  </si>
  <si>
    <t>567 - Sylmar/Palo Verde</t>
  </si>
  <si>
    <t>568 - Sylmar/Palo Verde</t>
  </si>
  <si>
    <t>569 - Sylmar/Palo Verde</t>
  </si>
  <si>
    <t>570 - Sylmar/Palo Verde</t>
  </si>
  <si>
    <t>571 - Sylmar/Palo Verde</t>
  </si>
  <si>
    <t>572 - Maintenance of Underground Transmission Lines</t>
  </si>
  <si>
    <t>572 - Sylmar/Palo Verde</t>
  </si>
  <si>
    <t>Total Transmission O&amp;M</t>
  </si>
  <si>
    <t>Distribution Accounts</t>
  </si>
  <si>
    <t>590 - Maintenance Supervision and Engineering</t>
  </si>
  <si>
    <t>591 - Maintenance of Structures</t>
  </si>
  <si>
    <t>Accounts with no ISO Distribution Costs</t>
  </si>
  <si>
    <t>Total Distribution O&amp;M</t>
  </si>
  <si>
    <t>Total Transmission and Distribution O&amp;M</t>
  </si>
  <si>
    <t>Total Transmission O&amp;M Expenses in FERC Form 1:</t>
  </si>
  <si>
    <t>FF1 321.112b</t>
  </si>
  <si>
    <t>Total Distribution O&amp;M Expenses in FERC Form 1:</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</si>
  <si>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</si>
  <si>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</si>
  <si>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</si>
  <si>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</si>
  <si>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</si>
  <si>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</si>
  <si>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</si>
  <si>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</si>
  <si>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</si>
  <si>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</si>
  <si>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</si>
  <si>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</si>
  <si>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</si>
  <si>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</si>
  <si>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</si>
  <si>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</si>
  <si>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</si>
  <si>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</si>
  <si>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</si>
  <si>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</si>
  <si>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</si>
  <si>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</si>
  <si>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</si>
  <si>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</si>
  <si>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</si>
  <si>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</si>
  <si>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</si>
  <si>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</si>
  <si>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</si>
  <si>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</si>
  <si>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</si>
  <si>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</si>
  <si>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</si>
  <si>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</si>
  <si>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</si>
  <si>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</si>
  <si>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</si>
  <si>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</si>
  <si>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</si>
  <si>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</si>
  <si>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</si>
  <si>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</si>
  <si>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</si>
  <si>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</si>
  <si>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</si>
  <si>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</si>
  <si>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</si>
  <si>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</si>
  <si>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</si>
  <si>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</si>
  <si>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</si>
  <si>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</si>
  <si>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</si>
  <si>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</si>
  <si>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</si>
  <si>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</si>
  <si>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</si>
  <si>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</si>
  <si>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</si>
  <si>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</si>
  <si>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</si>
  <si>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</si>
  <si>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</si>
  <si>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</si>
  <si>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</si>
  <si>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</si>
  <si>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</si>
  <si>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</si>
  <si>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</si>
  <si>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</si>
  <si>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</si>
  <si>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</si>
  <si>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</si>
  <si>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</si>
  <si>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</si>
  <si>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</si>
  <si>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</si>
  <si>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</si>
  <si>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</si>
  <si>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</si>
  <si>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</si>
  <si>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</si>
  <si>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</si>
  <si>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High Voltage Utility-Specific Rate =</t>
  </si>
  <si>
    <t>HV Wholesale TRR =</t>
  </si>
  <si>
    <t>Sum of Monthly Peak Demands:</t>
  </si>
  <si>
    <t>HV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</si>
  <si>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</si>
  <si>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</si>
  <si>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</si>
  <si>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</si>
  <si>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</si>
  <si>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</si>
  <si>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</si>
  <si>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</si>
  <si>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</si>
  <si>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</si>
  <si>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</si>
  <si>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</si>
  <si>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</si>
  <si>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</si>
  <si>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</si>
  <si>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</si>
  <si>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</si>
  <si>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</si>
  <si>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</si>
  <si>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</si>
  <si>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</si>
  <si>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</si>
  <si>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</si>
  <si>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</si>
  <si>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</si>
  <si>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</si>
  <si>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</si>
  <si>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</si>
  <si>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</si>
  <si>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</si>
  <si>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</si>
  <si>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</si>
  <si>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</si>
  <si>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</si>
  <si>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</si>
  <si>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</si>
  <si>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</si>
  <si>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</si>
  <si>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</si>
  <si>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</si>
  <si>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</si>
  <si>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</si>
  <si>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</si>
  <si>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</si>
  <si>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</si>
  <si>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</si>
  <si>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</si>
  <si>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</si>
  <si>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</si>
  <si>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</si>
  <si>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</si>
  <si>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</si>
  <si>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</si>
  <si>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</si>
  <si>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</si>
  <si>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</si>
  <si>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</si>
  <si>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</si>
  <si>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</si>
  <si>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</si>
  <si>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</si>
  <si>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</si>
  <si>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</si>
  <si>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</si>
  <si>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</si>
  <si>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</si>
  <si>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</si>
  <si>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</si>
  <si>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</si>
  <si>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</si>
  <si>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</si>
  <si>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Unamortized Issuance Costs</t>
  </si>
  <si>
    <t>Minus Net Gain (Loss) From Purchase and Tender Offers</t>
  </si>
  <si>
    <t>Less Unappropriated Undist. Sub. Earnings -- Acct. 216.1</t>
  </si>
  <si>
    <t>Less Accumulated Other Comprehensive Loss -- Account 219</t>
  </si>
  <si>
    <t>Calculation of Preferred Stock Amount</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</si>
  <si>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</si>
  <si>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</si>
  <si>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</si>
  <si>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</si>
  <si>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</si>
  <si>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</si>
  <si>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</si>
  <si>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</si>
  <si>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</si>
  <si>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</si>
  <si>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</si>
  <si>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</si>
  <si>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</si>
  <si>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</si>
  <si>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</si>
  <si>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</si>
  <si>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</si>
  <si>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</si>
  <si>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</si>
  <si>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</si>
  <si>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</si>
  <si>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</si>
  <si>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</si>
  <si>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</si>
  <si>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</si>
  <si>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</si>
  <si>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</si>
  <si>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</si>
  <si>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</si>
  <si>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</si>
  <si>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</si>
  <si>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</si>
  <si>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</si>
  <si>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</si>
  <si>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</si>
  <si>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</si>
  <si>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</si>
  <si>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</si>
  <si>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</si>
  <si>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</si>
  <si>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</si>
  <si>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</si>
  <si>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</si>
  <si>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</si>
  <si>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</si>
  <si>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</si>
  <si>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</si>
  <si>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</si>
  <si>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</si>
  <si>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</si>
  <si>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</si>
  <si>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</si>
  <si>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</si>
  <si>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</si>
  <si>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</si>
  <si>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</si>
  <si>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</si>
  <si>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</si>
  <si>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</si>
  <si>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</si>
  <si>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</si>
  <si>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</si>
  <si>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</si>
  <si>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</si>
  <si>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</si>
  <si>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</si>
  <si>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</si>
  <si>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Balances for Transmission Plant - ISO during the Prior Year, including December of previous year (See Note 1):</t>
  </si>
  <si>
    <t>Transmission Activity Used to Determine Monthly Transmission Plant - ISO Balances</t>
  </si>
  <si>
    <t>3) General and Intangible Depreciation Reserve</t>
  </si>
  <si>
    <t>Transmission Activity Used to Determine Monthly Transmission Depreciation Reserve - ISO Balances</t>
  </si>
  <si>
    <t>Balances for Transmission Depreciation Reserve - ISO during the Prior Year, including December of previous year (See Note 1):</t>
  </si>
  <si>
    <t>2) Distribution Depreciation Reserve - ISO (See Note 2)</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</si>
  <si>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</si>
  <si>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</si>
  <si>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</si>
  <si>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</si>
  <si>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</si>
  <si>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</si>
  <si>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</si>
  <si>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</si>
  <si>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</si>
  <si>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</si>
  <si>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</si>
  <si>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</si>
  <si>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</si>
  <si>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f) Red Bluff</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</si>
  <si>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</si>
  <si>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</si>
  <si>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</si>
  <si>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</si>
  <si>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</si>
  <si>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</si>
  <si>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</si>
  <si>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</si>
  <si>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</si>
  <si>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</si>
  <si>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</si>
  <si>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</si>
  <si>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</si>
  <si>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</si>
  <si>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</si>
  <si>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</si>
  <si>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</si>
  <si>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</si>
  <si>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</si>
  <si>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</si>
  <si>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</si>
  <si>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</si>
  <si>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</si>
  <si>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</si>
  <si>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</si>
  <si>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</si>
  <si>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</si>
  <si>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</si>
  <si>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</si>
  <si>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</si>
  <si>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</si>
  <si>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</si>
  <si>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</si>
  <si>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</si>
  <si>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</si>
  <si>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</si>
  <si>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</si>
  <si>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</si>
  <si>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</si>
  <si>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</si>
  <si>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</si>
  <si>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</si>
  <si>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</si>
  <si>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</si>
  <si>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</si>
  <si>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</si>
  <si>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</si>
  <si>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</si>
  <si>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</si>
  <si>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</si>
  <si>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</si>
  <si>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</si>
  <si>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</si>
  <si>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</si>
  <si>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</si>
  <si>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</si>
  <si>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</si>
  <si>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</si>
  <si>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</si>
  <si>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</si>
  <si>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</si>
  <si>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</si>
  <si>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</si>
  <si>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Low Voltage</t>
  </si>
  <si>
    <t>13-Month Averages:</t>
  </si>
  <si>
    <t>LV Allocation Factor)</t>
  </si>
  <si>
    <t>13-month avg.</t>
  </si>
  <si>
    <t>Total Account 282</t>
  </si>
  <si>
    <t>Allocation Factors (Plant and Wages)</t>
  </si>
  <si>
    <t>Total Account 190 ADIT</t>
  </si>
  <si>
    <t>Total Account 282 ADIT</t>
  </si>
  <si>
    <t>(Sum of amounts in Columns 4 to 6)</t>
  </si>
  <si>
    <t>Total Account 283 ADIT</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</si>
  <si>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</si>
  <si>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</si>
  <si>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</si>
  <si>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</si>
  <si>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</si>
  <si>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</si>
  <si>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</si>
  <si>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</si>
  <si>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</si>
  <si>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</si>
  <si>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</si>
  <si>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</si>
  <si>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</si>
  <si>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</si>
  <si>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</si>
  <si>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</si>
  <si>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 xml:space="preserve">1) Enter 13 months of balances for capital structure for Prior Year and December previous to Prior Year in Columns 2-14.  </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</si>
  <si>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</si>
  <si>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</si>
  <si>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</si>
  <si>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</si>
  <si>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</si>
  <si>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</si>
  <si>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</si>
  <si>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</si>
  <si>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</si>
  <si>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</si>
  <si>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</si>
  <si>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</si>
  <si>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</si>
  <si>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</si>
  <si>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</si>
  <si>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</si>
  <si>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</si>
  <si>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</si>
  <si>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</si>
  <si>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</si>
  <si>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</si>
  <si>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</si>
  <si>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</si>
  <si>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</si>
  <si>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</si>
  <si>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</si>
  <si>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</si>
  <si>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</si>
  <si>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</si>
  <si>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</si>
  <si>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</si>
  <si>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</si>
  <si>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</si>
  <si>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</si>
  <si>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</si>
  <si>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Supplies Balances</t>
  </si>
  <si>
    <t>Total Materials and</t>
  </si>
  <si>
    <t>Calculation of True Up TRR</t>
  </si>
  <si>
    <t>Calculation of True Up Adjustment Component of TRR</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</si>
  <si>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</si>
  <si>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</si>
  <si>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</si>
  <si>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</si>
  <si>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</si>
  <si>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</si>
  <si>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</si>
  <si>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</si>
  <si>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</si>
  <si>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</si>
  <si>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</si>
  <si>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</si>
  <si>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</si>
  <si>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</si>
  <si>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Instruction 1</t>
  </si>
  <si>
    <t>the ROE used in Schedule 1 will differ from the ROE used in this Schedule 4, because the Schedule 1 ROE will be the most recent ROE,</t>
  </si>
  <si>
    <t>See Note 1 and Instruction 1</t>
  </si>
  <si>
    <t>See Note 2 and Instruction 2</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</si>
  <si>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</si>
  <si>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</si>
  <si>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</si>
  <si>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</si>
  <si>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</si>
  <si>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</si>
  <si>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</si>
  <si>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</si>
  <si>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</si>
  <si>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</si>
  <si>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</si>
  <si>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</si>
  <si>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</si>
  <si>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</si>
  <si>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</si>
  <si>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</si>
  <si>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</si>
  <si>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</si>
  <si>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</si>
  <si>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</si>
  <si>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</si>
  <si>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</si>
  <si>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</si>
  <si>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</si>
  <si>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</si>
  <si>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</si>
  <si>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</si>
  <si>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</si>
  <si>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</si>
  <si>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</si>
  <si>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</si>
  <si>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</si>
  <si>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</si>
  <si>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r>
      <rPr>
        <b/>
        <sz val="10"/>
        <rFont val="Arial"/>
        <family val="2"/>
      </rPr>
      <t>Notes:</t>
    </r>
    <r>
      <rPr>
        <sz val="10"/>
        <rFont val="Arial"/>
        <family val="2"/>
      </rPr>
      <t xml:space="preserve"> 1) Depreciation rates may only be revised as approved by the Commission pursuant</t>
    </r>
  </si>
  <si>
    <t>Resulting Percentage is:</t>
  </si>
  <si>
    <t>Percent ISO</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</si>
  <si>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</si>
  <si>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</si>
  <si>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</si>
  <si>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</si>
  <si>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</si>
  <si>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</si>
  <si>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</si>
  <si>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</si>
  <si>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</si>
  <si>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</si>
  <si>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</si>
  <si>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</si>
  <si>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</si>
  <si>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</si>
  <si>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</si>
  <si>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</si>
  <si>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</si>
  <si>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</si>
  <si>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</si>
  <si>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</si>
  <si>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</si>
  <si>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</si>
  <si>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</si>
  <si>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</si>
  <si>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</si>
  <si>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</si>
  <si>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</si>
  <si>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</si>
  <si>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</si>
  <si>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</si>
  <si>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</si>
  <si>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</si>
  <si>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</si>
  <si>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 xml:space="preserve">2) In the event that depreciation rates stated on Schedule 18 to be applied to Distribution Plant - ISO are revised mid-year, calculate Depreciation Expense for </t>
  </si>
  <si>
    <t>See Instructions 2b, 3, and Note 2</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</si>
  <si>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</si>
  <si>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</si>
  <si>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</si>
  <si>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</si>
  <si>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</si>
  <si>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</si>
  <si>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</si>
  <si>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</si>
  <si>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</si>
  <si>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</si>
  <si>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</si>
  <si>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</si>
  <si>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</si>
  <si>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</si>
  <si>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</si>
  <si>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</si>
  <si>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</si>
  <si>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</si>
  <si>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</si>
  <si>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Gen. and Int.</t>
  </si>
  <si>
    <t>=C4+C5</t>
  </si>
  <si>
    <t>FF1 219.28c and 200.21c for previous year</t>
  </si>
  <si>
    <t>FF1 219.28c and 200.21c</t>
  </si>
  <si>
    <t>Values</t>
  </si>
  <si>
    <t>Applied to Accounts</t>
  </si>
  <si>
    <t>ISO Line Miles</t>
  </si>
  <si>
    <t>Non-ISO Line Miles</t>
  </si>
  <si>
    <t>Total Line Miles</t>
  </si>
  <si>
    <t>Line MIles Percent ISO</t>
  </si>
  <si>
    <t>ISO Underground Line Miles</t>
  </si>
  <si>
    <t>Non-ISO Underground Line Miles</t>
  </si>
  <si>
    <t>Total Undergound Line Miles</t>
  </si>
  <si>
    <t>Underground Line MIles Percent ISO</t>
  </si>
  <si>
    <t>ISO Circuit Breakers</t>
  </si>
  <si>
    <t>Total Circuit Breakers</t>
  </si>
  <si>
    <t>Circuit Breakers Percent ISO</t>
  </si>
  <si>
    <t>Non-ISO Distribution Circuit Breakers</t>
  </si>
  <si>
    <t>Total Distribution Circuit Breakers</t>
  </si>
  <si>
    <t>ISO Distribution Circuit Breakers</t>
  </si>
  <si>
    <t>Distribution Circuit Breakers Percent ISO</t>
  </si>
  <si>
    <t>For the following Prior Years:</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</si>
  <si>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</si>
  <si>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</si>
  <si>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</si>
  <si>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</si>
  <si>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</si>
  <si>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Order approving revised ROE:</t>
  </si>
  <si>
    <t>In the event that the Return on Common Equity is revised from the initial value, enter cite to Commission Order approving the revised ROE on following line.</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</si>
  <si>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</si>
  <si>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</si>
  <si>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</si>
  <si>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</si>
  <si>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</si>
  <si>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</si>
  <si>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</si>
  <si>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compared to the Retail Base TRR.  This difference is attributable to differences in the following six items,</t>
  </si>
  <si>
    <t>These six items may affect the Base TRR by affecting Rate Base, or affecting an annual expense (amortization).</t>
  </si>
  <si>
    <t>d) Total Expense Difference</t>
  </si>
  <si>
    <t>Partial Year True Up Allocation Factors calculated based on three years (2008-2010) of monthly SCE retail base transmission revenues.</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</si>
  <si>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</si>
  <si>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</si>
  <si>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</si>
  <si>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Long Term Debt Advances from Associated Companies -- Account 223</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</si>
  <si>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</si>
  <si>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</si>
  <si>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</si>
  <si>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</si>
  <si>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</si>
  <si>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</si>
  <si>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</si>
  <si>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</si>
  <si>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</si>
  <si>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</si>
  <si>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</si>
  <si>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</si>
  <si>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</si>
  <si>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</si>
  <si>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</si>
  <si>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</si>
  <si>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</si>
  <si>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</si>
  <si>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</si>
  <si>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</si>
  <si>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</si>
  <si>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</si>
  <si>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 xml:space="preserve">1) Any amount of "Provision for Doubtful Accounts" costs. </t>
  </si>
  <si>
    <t>2) Any amount of "Accounting Suspense" costs.</t>
  </si>
  <si>
    <t>g) Exclude the following costs included in any account 920-935:</t>
  </si>
  <si>
    <t>4) Any amount of costs recovered 100% through California Public Utilities Commission ("CPUC") rates.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</si>
  <si>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</si>
  <si>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</si>
  <si>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</si>
  <si>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</si>
  <si>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</si>
  <si>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 xml:space="preserve">c) The previous month balance of the Transmission Plant - ISO amounts on Lines 1-13.  </t>
  </si>
  <si>
    <t xml:space="preserve">For instance, the amount for May of the Prior Year (on Line 6) for Account 353 (Column 5) is the sum of the following values: </t>
  </si>
  <si>
    <t>The amounts for each month on the remaining lines are calculated by summing the following values:</t>
  </si>
  <si>
    <t>c) Balances for Transmission Depreciation Reserve (on Lines 1 to 13) for the previous month.</t>
  </si>
  <si>
    <t>For instance, the amount for May of the Prior Year (on Line 6) for Account 353 (Column 5) is the sum of the following values:</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</si>
  <si>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</si>
  <si>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</si>
  <si>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</si>
  <si>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</si>
  <si>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</si>
  <si>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</si>
  <si>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</si>
  <si>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</si>
  <si>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</si>
  <si>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</si>
  <si>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</si>
  <si>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</si>
  <si>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</si>
  <si>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</si>
  <si>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</si>
  <si>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</si>
  <si>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Amounts on Line 1 must match corresponding account Schedule 7, Column 2 for previous year.</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</si>
  <si>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</si>
  <si>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</si>
  <si>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</si>
  <si>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</si>
  <si>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</si>
  <si>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</si>
  <si>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</si>
  <si>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</si>
  <si>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</si>
  <si>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</si>
  <si>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</si>
  <si>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</si>
  <si>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</si>
  <si>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</si>
  <si>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</si>
  <si>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</si>
  <si>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</si>
  <si>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</si>
  <si>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</si>
  <si>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</si>
  <si>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</si>
  <si>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</si>
  <si>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</si>
  <si>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</si>
  <si>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</si>
  <si>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</si>
  <si>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</si>
  <si>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</si>
  <si>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</si>
  <si>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</si>
  <si>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</si>
  <si>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</si>
  <si>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</si>
  <si>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</si>
  <si>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</si>
  <si>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</si>
  <si>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</si>
  <si>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</si>
  <si>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</si>
  <si>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</si>
  <si>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</si>
  <si>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</si>
  <si>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</si>
  <si>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</si>
  <si>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</si>
  <si>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</si>
  <si>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</si>
  <si>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</si>
  <si>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</si>
  <si>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</si>
  <si>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</si>
  <si>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</si>
  <si>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</si>
  <si>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</si>
  <si>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</si>
  <si>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</si>
  <si>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</si>
  <si>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</si>
  <si>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</si>
  <si>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</si>
  <si>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</si>
  <si>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</si>
  <si>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</si>
  <si>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</si>
  <si>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</si>
  <si>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</si>
  <si>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</si>
  <si>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</si>
  <si>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</si>
  <si>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</si>
  <si>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</si>
  <si>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</si>
  <si>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</si>
  <si>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</si>
  <si>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</si>
  <si>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</si>
  <si>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</si>
  <si>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</si>
  <si>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</si>
  <si>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</si>
  <si>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</si>
  <si>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</si>
  <si>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</si>
  <si>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</si>
  <si>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</si>
  <si>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</si>
  <si>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</si>
  <si>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3) Non-Incentive Plant Forecast (See Note 1)</t>
  </si>
  <si>
    <t>= Prior Month C2
+C2+C5+C6</t>
  </si>
  <si>
    <t>December Prior Year plant balances and accrual rates are as shown on Schedule 17 Depreciation</t>
  </si>
  <si>
    <t>Current Authorized PBOPs Expense Amount:</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</si>
  <si>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</si>
  <si>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</si>
  <si>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</si>
  <si>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</si>
  <si>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</si>
  <si>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</si>
  <si>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</si>
  <si>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</si>
  <si>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</si>
  <si>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</si>
  <si>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</si>
  <si>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</si>
  <si>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</si>
  <si>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</si>
  <si>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</si>
  <si>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</si>
  <si>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</si>
  <si>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</si>
  <si>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</si>
  <si>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</si>
  <si>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</si>
  <si>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</si>
  <si>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</si>
  <si>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</si>
  <si>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</si>
  <si>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</si>
  <si>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</si>
  <si>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</si>
  <si>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</si>
  <si>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</si>
  <si>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Remaining A&amp;G after exclusions &amp; NOIC Adjustment:</t>
  </si>
  <si>
    <t>NOIC</t>
  </si>
  <si>
    <t xml:space="preserve">Note 2: Non-Officer Incentive Compensation ("NOIC") Adjustment </t>
  </si>
  <si>
    <t xml:space="preserve">Adjust NOIC by excluding accrued NOIC Amount and replacing with the </t>
  </si>
  <si>
    <t>Accrued NOIC Amount:</t>
  </si>
  <si>
    <t>Actual A&amp;G NOIC payout:</t>
  </si>
  <si>
    <t>2) Fill out "Itemization of Exclusions" table for all input cells. NOIC amount in</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</si>
  <si>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</si>
  <si>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</si>
  <si>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</si>
  <si>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</si>
  <si>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</si>
  <si>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</si>
  <si>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</si>
  <si>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</si>
  <si>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</si>
  <si>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</si>
  <si>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</si>
  <si>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</si>
  <si>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</si>
  <si>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</si>
  <si>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</si>
  <si>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</si>
  <si>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</si>
  <si>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</si>
  <si>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</si>
  <si>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</si>
  <si>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</si>
  <si>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</si>
  <si>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</si>
  <si>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</si>
  <si>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</si>
  <si>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</si>
  <si>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</si>
  <si>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</si>
  <si>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</si>
  <si>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</si>
  <si>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</si>
  <si>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</si>
  <si>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</si>
  <si>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</si>
  <si>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</si>
  <si>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c) Reliability Services Revenue.</t>
  </si>
  <si>
    <t>b) Transmission Access Charge Balancing Account Adjustment.</t>
  </si>
  <si>
    <t xml:space="preserve">a) Transmission Revenue Balancing Account Adjustment revenue. </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</si>
  <si>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</si>
  <si>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</si>
  <si>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Sum of Column D, Line 43 and Column G, Line 32</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</si>
  <si>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</si>
  <si>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</si>
  <si>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</si>
  <si>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</si>
  <si>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</si>
  <si>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</si>
  <si>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</si>
  <si>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</si>
  <si>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</si>
  <si>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</si>
  <si>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</si>
  <si>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</si>
  <si>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</si>
  <si>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</si>
  <si>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</si>
  <si>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</si>
  <si>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</si>
  <si>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</si>
  <si>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</si>
  <si>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</si>
  <si>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</si>
  <si>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</si>
  <si>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</si>
  <si>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T-Unauth Pole Rent</t>
  </si>
  <si>
    <t>T-P&amp;E Fees</t>
  </si>
  <si>
    <t>Grant Amortization</t>
  </si>
  <si>
    <t>GHG Allowance Revenue</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</si>
  <si>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</si>
  <si>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</si>
  <si>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</si>
  <si>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</si>
  <si>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</si>
  <si>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</si>
  <si>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</si>
  <si>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</si>
  <si>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</si>
  <si>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</si>
  <si>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</si>
  <si>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</si>
  <si>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</si>
  <si>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</si>
  <si>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</si>
  <si>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</si>
  <si>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</si>
  <si>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</si>
  <si>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</si>
  <si>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</si>
  <si>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</si>
  <si>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</si>
  <si>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</si>
  <si>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</si>
  <si>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</si>
  <si>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</si>
  <si>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</si>
  <si>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</si>
  <si>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</si>
  <si>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</si>
  <si>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</si>
  <si>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</si>
  <si>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</si>
  <si>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</si>
  <si>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</si>
  <si>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</si>
  <si>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</si>
  <si>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</si>
  <si>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</si>
  <si>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</si>
  <si>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</si>
  <si>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</si>
  <si>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</si>
  <si>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</si>
  <si>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</si>
  <si>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</si>
  <si>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</si>
  <si>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</si>
  <si>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</si>
  <si>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</si>
  <si>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</si>
  <si>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</si>
  <si>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</si>
  <si>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</si>
  <si>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</si>
  <si>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</si>
  <si>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</si>
  <si>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</si>
  <si>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</si>
  <si>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</si>
  <si>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</si>
  <si>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</si>
  <si>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</si>
  <si>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</si>
  <si>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</si>
  <si>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</si>
  <si>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</si>
  <si>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</si>
  <si>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</si>
  <si>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</si>
  <si>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</si>
  <si>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</si>
  <si>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</si>
  <si>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</si>
  <si>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</si>
  <si>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</si>
  <si>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</si>
  <si>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</si>
  <si>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</si>
  <si>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</si>
  <si>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</si>
  <si>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</si>
  <si>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</si>
  <si>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</si>
  <si>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</si>
  <si>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</si>
  <si>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</si>
  <si>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</si>
  <si>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</si>
  <si>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</si>
  <si>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</si>
  <si>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</si>
  <si>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</si>
  <si>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</si>
  <si>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</si>
  <si>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</si>
  <si>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</si>
  <si>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</si>
  <si>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Forecast 12-CP Retail Load:</t>
  </si>
  <si>
    <t>Income Taxes = [((RB * ER) + D) * (CTR/(1 – CTR))]  + CO/(1 – CTR)</t>
  </si>
  <si>
    <t>Actual non-capitalized NOIC Payouts:</t>
  </si>
  <si>
    <t>- %</t>
  </si>
  <si>
    <t xml:space="preserve"> ____</t>
  </si>
  <si>
    <t>2) Enter forecast project specific values on lines 55-79, 81-105, 107-131, 133-157, 159-183, 185-209, 211-235, 237-261, 263-287, 289-313, ...</t>
  </si>
  <si>
    <t>--</t>
  </si>
  <si>
    <t>----</t>
  </si>
  <si>
    <t xml:space="preserve">   ---</t>
  </si>
  <si>
    <t xml:space="preserve">---  </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</si>
  <si>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</si>
  <si>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</si>
  <si>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</si>
  <si>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</si>
  <si>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</si>
  <si>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3) Devers to Col. River</t>
  </si>
  <si>
    <t>7, 17</t>
  </si>
  <si>
    <t>Straddle Subs (Cross 200 kV bound.):</t>
  </si>
  <si>
    <t>Gross Plant that can directly be determined to be HV or LV:</t>
  </si>
  <si>
    <t>B) Return on Capital</t>
  </si>
  <si>
    <t>C) Income Taxes</t>
  </si>
  <si>
    <t>D) True Up TRR Calculation</t>
  </si>
  <si>
    <t>E) Calculation of final True Up TRR with Franchise Fees and Uncollectibles Expenses</t>
  </si>
  <si>
    <t>AFCRCWIP = CLTD  + (COS * (1/(1 - CTR)))</t>
  </si>
  <si>
    <t xml:space="preserve">Year </t>
  </si>
  <si>
    <t>= Sum (Cols. 2-14)/13</t>
  </si>
  <si>
    <t>Reacquired Bonds -- Account 222 (Note 2): enter - of FF1</t>
  </si>
  <si>
    <t>5) Only exclude if not already excluded in Schedule 20.</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</si>
  <si>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</si>
  <si>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</si>
  <si>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</si>
  <si>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</si>
  <si>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</si>
  <si>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</si>
  <si>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</si>
  <si>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</si>
  <si>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</si>
  <si>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</si>
  <si>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</si>
  <si>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</si>
  <si>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</si>
  <si>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</si>
  <si>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</si>
  <si>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</si>
  <si>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</si>
  <si>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</si>
  <si>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</si>
  <si>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</si>
  <si>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</si>
  <si>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</si>
  <si>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</si>
  <si>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</si>
  <si>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</si>
  <si>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</si>
  <si>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</si>
  <si>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</si>
  <si>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</si>
  <si>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</si>
  <si>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</si>
  <si>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</si>
  <si>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</si>
  <si>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</si>
  <si>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</si>
  <si>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</si>
  <si>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</si>
  <si>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</si>
  <si>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</si>
  <si>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</si>
  <si>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</si>
  <si>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</si>
  <si>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</si>
  <si>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</si>
  <si>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</si>
  <si>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</si>
  <si>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</si>
  <si>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</si>
  <si>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</si>
  <si>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</si>
  <si>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</si>
  <si>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</si>
  <si>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</si>
  <si>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</si>
  <si>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</si>
  <si>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</si>
  <si>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</si>
  <si>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</si>
  <si>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</si>
  <si>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</si>
  <si>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</si>
  <si>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</si>
  <si>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</si>
  <si>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</si>
  <si>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</si>
  <si>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</si>
  <si>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</si>
  <si>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</si>
  <si>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</si>
  <si>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</si>
  <si>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</si>
  <si>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</si>
  <si>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</si>
  <si>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</si>
  <si>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</si>
  <si>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</si>
  <si>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</si>
  <si>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</si>
  <si>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</si>
  <si>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</si>
  <si>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</si>
  <si>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</si>
  <si>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</si>
  <si>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</si>
  <si>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</si>
  <si>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t xml:space="preserve">d) Include previous Annual Update Cumulative Excess or Shortfall in Prior Year (from Previous Annual Update Line 23) </t>
  </si>
  <si>
    <t>and any One-Time Adjustments in Column 4 (Lines 11 and 12 respectively).</t>
  </si>
  <si>
    <t>e) Continue interest calculation through the end of the Prior Year (Line 23) to determine Cumulative Excess or Shortfall for this Annual Update.</t>
  </si>
  <si>
    <t>3) True Up Adjustment</t>
  </si>
  <si>
    <t>4) Final True Up Adjustment</t>
  </si>
  <si>
    <t>Previous Annual Update TU Adjustment:</t>
  </si>
  <si>
    <t>TU Adjustment without Projected Interest</t>
  </si>
  <si>
    <t>Projected Interest to Rate Year Mid-Point:</t>
  </si>
  <si>
    <t>Previous Annual Update Schedule 3, Line 30</t>
  </si>
  <si>
    <t>Line 26 - Line 27</t>
  </si>
  <si>
    <t>Line 28 * (Line 23, Column  6) * 18 months</t>
  </si>
  <si>
    <t>Line 23, Column 9</t>
  </si>
  <si>
    <r>
      <t>Line 28 + Line 29</t>
    </r>
    <r>
      <rPr>
        <sz val="10"/>
        <rFont val="Arial"/>
        <family val="2"/>
      </rPr>
      <t>.  Positive amount is to be collected by SCE (included in Base TRR as a positive amount).</t>
    </r>
  </si>
  <si>
    <t>Revenue In</t>
  </si>
  <si>
    <t>Shortfall/Excess</t>
  </si>
  <si>
    <t>Transmission Revenues: (Note 8)</t>
  </si>
  <si>
    <t>One-Time</t>
  </si>
  <si>
    <t>Adjustments and</t>
  </si>
  <si>
    <t>Annual Update</t>
  </si>
  <si>
    <t xml:space="preserve">2) Enter Previous Annual Update True Up Adjustment (if any) on Line 27.  </t>
  </si>
  <si>
    <t xml:space="preserve">18 C.F.R. §35.19a on lines 12 to 23, Column 6.  </t>
  </si>
  <si>
    <t xml:space="preserve">4) Enter any One Time Adjustments on Column 4, Line 12 (or other appropriate).  If SCE is owed enter as positive, if SCE is to return to customers enter as negative.  </t>
  </si>
  <si>
    <t>Entering on Line 12 (or other appropriate) ensures these One Time Adjustments are recovered from or returned to customers.</t>
  </si>
  <si>
    <t xml:space="preserve">a) In the event that a Commission Order revises SCE's True Up TRR for a previous Prior Year, </t>
  </si>
  <si>
    <t>b) Any refunds attributable to SCE's previous CWIP TRR cases (Docket Nos. ER08-375, ER09-187, ER10-160, and ER11-1952), not previously returned to customers.</t>
  </si>
  <si>
    <t>5) Fill in matrix of all retail revenues from Prior Year in table on lines 63 to 74.</t>
  </si>
  <si>
    <t>6) Enter Total Sales to Ultimate Consumers on line 77 and verify that it equals the total on line 75.</t>
  </si>
  <si>
    <t xml:space="preserve">7) If true up period is less than entire calendar year, then adjust calculation accordingly by including $0 Monthly True Up TRR and $0 </t>
  </si>
  <si>
    <t>6) "Cumulative Excess (-) or Shortfall (+) in Revenue wo Interest for Current Month" is, beginning for the January month,</t>
  </si>
  <si>
    <t>No interest is applied for the first December.</t>
  </si>
  <si>
    <t>8) Only provide if formula was in effect during Prior Year.</t>
  </si>
  <si>
    <t>9) Only include Base Transmission Revenue attributable to this formula transmission rate.</t>
  </si>
  <si>
    <t>10) Other Transmission Revenue includes the following:</t>
  </si>
  <si>
    <t>the amount in Column 9 for previous month plus the current month amount in Column 5.  For the first December, it is the amount in Column 5.</t>
  </si>
  <si>
    <t>Enter with the same sign as in previous Annual Update.  If there is no Previous Annual Update True Up Adjustment, then enter $0.</t>
  </si>
  <si>
    <t>SCE shall include that difference in the True Up Adjustment, including interest, at the first opportunity, in accordance with tariff protocols.</t>
  </si>
  <si>
    <t>c) Amounts resulting from input errors impacting the True Up TRR in a previous Formula Rate Annual Update pursuant to Protocol Section 3(d)(8).</t>
  </si>
  <si>
    <t xml:space="preserve">a) Attribute True Up TRR to months in the Prior Year (see Note #1) to determine "Monthly True Up TRR" for each month (see Note #2).  </t>
  </si>
  <si>
    <t>Including previous Annual Update Cumulative Excess or Shortfall in Revenue.</t>
  </si>
  <si>
    <t>1) Enter applicable years on Column 1, Lines 11-23 (Prior Year and December of the year previous to the Prior Year).</t>
  </si>
  <si>
    <t>6-PlantInService Line 15.</t>
  </si>
  <si>
    <t>6-PlantInService Line 16.</t>
  </si>
  <si>
    <t>a) Depreciation Expense for May of the Prior Year (on Line 44, Column 5);</t>
  </si>
  <si>
    <t>c) The balances for Transmission Depreciation Reserve for April of the Prior Year (on Line 5, column 5).</t>
  </si>
  <si>
    <t>F: Excludes shareholder funded costs</t>
  </si>
  <si>
    <t>E: Exclude amount of costs transfered to account from A&amp;G Account 920 pursuant to Order 668</t>
  </si>
  <si>
    <t>FF1 263 or 263.x (see note to left)</t>
  </si>
  <si>
    <t xml:space="preserve">2) No change in Return on Common Equity will be made absent a Section 205 filing at the Commission. </t>
  </si>
  <si>
    <t>4) Cost Adjustment may be included as provided in the Tariff protocols.</t>
  </si>
  <si>
    <t xml:space="preserve">1) Any amount of "Sub-Total Local Taxes" or "Payroll Taxes Expense" may be excluded if appropriate with the provision of a workpaper showing the </t>
  </si>
  <si>
    <t>reason for the exclusion and the amount of the exclusion.</t>
  </si>
  <si>
    <t>Line 3 - Line 1</t>
  </si>
  <si>
    <t>Line 6 - Line 4</t>
  </si>
  <si>
    <t>Line 10 - Line 8</t>
  </si>
  <si>
    <t>FF1 _, Row _, Column i</t>
  </si>
  <si>
    <t>2) High Voltage Utility-Specific Rate</t>
  </si>
  <si>
    <t>3) HV Existing Contracts Access Charge</t>
  </si>
  <si>
    <t xml:space="preserve">1) Amounts on Line 13 based on current year Plant Study.  Amounts on Line 1 shall be based on previous year Plant Study, and </t>
  </si>
  <si>
    <t>f) EPRI and EEI Dues</t>
  </si>
  <si>
    <t>c) Calculation of EPRI and EEI Dues Exclusion</t>
  </si>
  <si>
    <t>EPRI Dues</t>
  </si>
  <si>
    <t>EEI Dues</t>
  </si>
  <si>
    <t>Sum of EPRI and EEI Dues</t>
  </si>
  <si>
    <t>EPRI and EEI Dues Exclusion</t>
  </si>
  <si>
    <t>5) EPRI and EEI Dues Exclusion</t>
  </si>
  <si>
    <t>6) Additional Expense Difference</t>
  </si>
  <si>
    <t>6) If appropriate, additional expenses may be excluded from the Wholesale Base TRR</t>
  </si>
  <si>
    <t>and the "Equity Rate of Return Including Preferred Stock" on Line 23 in the event that the ROE is revised during the Prior Year.  In this event,</t>
  </si>
  <si>
    <t>The difference between Retail and Wholesale Rate Base is attributable to the following four items,</t>
  </si>
  <si>
    <t>3) Add additional years past 2025 if necessary.</t>
  </si>
  <si>
    <t>HV Abandoned Plant (BOY):</t>
  </si>
  <si>
    <t>Abandoned Plant (BOY)</t>
  </si>
  <si>
    <t>Total: 12-Abandoned Plant Line 2, HV: 12-Abandoned Plant Line 5, LV = Total - HV</t>
  </si>
  <si>
    <t>CWIP in Rate Year</t>
  </si>
  <si>
    <t>Total HV and LV Gross Plant for Rate Year</t>
  </si>
  <si>
    <t>B) Gross Plant Percentage for the Rate Year:</t>
  </si>
  <si>
    <t>In Service Additions in Rate Year:</t>
  </si>
  <si>
    <t>Note 1, c</t>
  </si>
  <si>
    <t>See Note 1, c</t>
  </si>
  <si>
    <t>Note 1, f</t>
  </si>
  <si>
    <t>See Note 1, f</t>
  </si>
  <si>
    <t xml:space="preserve">1) </t>
  </si>
  <si>
    <t>Beginning of Year Amount</t>
  </si>
  <si>
    <t>FERC Form 1 Acct. 165 Recorded Amount:</t>
  </si>
  <si>
    <t>Prior Period Adjustment:</t>
  </si>
  <si>
    <t>BOY Prepayments Amount:</t>
  </si>
  <si>
    <t>End of Year Amount</t>
  </si>
  <si>
    <t>EOY Prepayments Amount:</t>
  </si>
  <si>
    <t>562 - Station Expenses - Allocated</t>
  </si>
  <si>
    <t>560 - Operations Supervision and Engineering - Allocated</t>
  </si>
  <si>
    <t>563 - Overhead Line Expenses - Allocated</t>
  </si>
  <si>
    <t>564 - Underground Line Expenses - Allocated</t>
  </si>
  <si>
    <t>565 - Transmission of Electricity by Others</t>
  </si>
  <si>
    <t>566 - Miscellaneous Transmission Expenses - Allocated</t>
  </si>
  <si>
    <t>567 - Line Rents - Allocated</t>
  </si>
  <si>
    <t>568 - Maintenance Supervision and Engineering - Allocated</t>
  </si>
  <si>
    <t>569 - Maintenance of Structures - Allocated</t>
  </si>
  <si>
    <t xml:space="preserve">570 - Maintenance of Station Equipment - Allocated </t>
  </si>
  <si>
    <t xml:space="preserve">571 - Maintenance of Overhead Lines - Allocated </t>
  </si>
  <si>
    <t xml:space="preserve">573 - Maintenance of Miscellaneous Trans. Plant - Allocated </t>
  </si>
  <si>
    <r>
      <t xml:space="preserve">582 - Station Expenses </t>
    </r>
    <r>
      <rPr>
        <strike/>
        <sz val="10"/>
        <color rgb="FFFF0000"/>
        <rFont val="Arial"/>
        <family val="2"/>
      </rPr>
      <t/>
    </r>
  </si>
  <si>
    <t xml:space="preserve">592 - Maintenance of Station Equipment </t>
  </si>
  <si>
    <t>27-Allocators Line 42</t>
  </si>
  <si>
    <t>27-Allocators Line 30</t>
  </si>
  <si>
    <t>27-Allocators Line 36</t>
  </si>
  <si>
    <t>572 - Maintenance of Underground Lines - Allocated</t>
  </si>
  <si>
    <t>27-Allocators Line 48</t>
  </si>
  <si>
    <t>561 Load Dispatch - Allocated</t>
  </si>
  <si>
    <t>561.500 Reliability Planning and Standards Development</t>
  </si>
  <si>
    <t>FF1 322.156b</t>
  </si>
  <si>
    <r>
      <t>563 -</t>
    </r>
    <r>
      <rPr>
        <strike/>
        <sz val="10"/>
        <rFont val="Arial"/>
        <family val="2"/>
      </rPr>
      <t xml:space="preserve"> </t>
    </r>
    <r>
      <rPr>
        <sz val="10"/>
        <rFont val="Arial"/>
        <family val="2"/>
      </rPr>
      <t>Overhead Line Expenses - Allocated</t>
    </r>
  </si>
  <si>
    <t>571 - Maintenance of Overhead Lines - Allocated</t>
  </si>
  <si>
    <t>Non-ISO Breakers</t>
  </si>
  <si>
    <t>All Other Non 0% or 100% Transmission O&amp;M Accounts</t>
  </si>
  <si>
    <t>a) Line Miles</t>
  </si>
  <si>
    <t>b) Underground Line Miles</t>
  </si>
  <si>
    <t>c) Circuit Breakers</t>
  </si>
  <si>
    <t>d) Distribution Circuit Breakers</t>
  </si>
  <si>
    <t>3) South of Kramer</t>
  </si>
  <si>
    <t>4) West of Devers</t>
  </si>
  <si>
    <t xml:space="preserve">8) </t>
  </si>
  <si>
    <t>9)</t>
  </si>
  <si>
    <t>d) South of Kramer</t>
  </si>
  <si>
    <t>e) West of Devers</t>
  </si>
  <si>
    <t xml:space="preserve">i) </t>
  </si>
  <si>
    <t xml:space="preserve">j) </t>
  </si>
  <si>
    <t>E) South of Kramer Incentives Received:</t>
  </si>
  <si>
    <t>F) West of Devers Incentives Received:</t>
  </si>
  <si>
    <t>J) Future Incentive Projects:</t>
  </si>
  <si>
    <t>K) Future Incentive Projects:</t>
  </si>
  <si>
    <t>Income Tax Rates</t>
  </si>
  <si>
    <t>Rate ("SITR")</t>
  </si>
  <si>
    <t>Capitalization Rate (Note 3)</t>
  </si>
  <si>
    <t>1) Federal Source Statute:</t>
  </si>
  <si>
    <t>3) Capitalization Rate approved in:</t>
  </si>
  <si>
    <t>2) California State Source Statue:</t>
  </si>
  <si>
    <t>3) Any penalties or fines.</t>
  </si>
  <si>
    <t xml:space="preserve">Acct 252 Other </t>
  </si>
  <si>
    <t>Total Acct 252 - Customer Advances for Construction</t>
  </si>
  <si>
    <t>Total Acct 242 - Miscellaneous Current and Accrued Liabilities</t>
  </si>
  <si>
    <t>((L1 FF Factor * L1 Days) + (L2 FF Factor * L2 Days))/(L1+L2 Days)</t>
  </si>
  <si>
    <t>((L3 U Factor * L3 Days) + (L4 U Factor * L4 Days))/(L3+L4 Days)</t>
  </si>
  <si>
    <t>1) Total Transmission Plant Balances by Account (See Note 3)</t>
  </si>
  <si>
    <t>2) Total Transmission Activity by Account (See Note 4):</t>
  </si>
  <si>
    <t>3) ISO Incentive Plant Balances (See Note 5)</t>
  </si>
  <si>
    <t>4) ISO Incentive Plant Activity (See Note 6)</t>
  </si>
  <si>
    <t>5) Total Transmission Activity Not Including Incentive Plant Activity (See Note 7):</t>
  </si>
  <si>
    <t>6) Total Monthly Transmission Activity as a Percent of Annual Transmission Activity (See Note 8)</t>
  </si>
  <si>
    <t>7) Calculation of change in Non-Incentive ISO Plant:</t>
  </si>
  <si>
    <t>A) Change in ISO Plant Balance December to December (See Note 9)</t>
  </si>
  <si>
    <t>B) Change in Incentive ISO Plant (See Note 10)</t>
  </si>
  <si>
    <t>C) Change in Non-Incentive ISO Plant (See Note 11)</t>
  </si>
  <si>
    <t>8) Other ISO Transmission Activity without Incentive Plant Activity (See Note 12):</t>
  </si>
  <si>
    <t>a) Other ISO Transmission Activity without Incentive Plant Activity on Lines 108-119 for the same month;</t>
  </si>
  <si>
    <t>b) ISO Incentive Plant Activity on Lines 67 to 78 for the same month; and</t>
  </si>
  <si>
    <t>a) the "Other ISO Transmission Activity without Incentive Plant Activity" for May of the Prior Year (on Line 112, Column 5);</t>
  </si>
  <si>
    <t>b) the "ISO Incentive Plant Activity" for May of the Prior Year (on Line 71, Column 5),</t>
  </si>
  <si>
    <t>c) and the "Transmission Plant - ISO" amount for April of the Prior Year (on Line 5, Column 5).</t>
  </si>
  <si>
    <t>3) Reconciles to BOY and EOY FERC Form 1 (FF1 207, Lines 48-56 , Column g).</t>
  </si>
  <si>
    <t>4) Includes recorded Transmission Plant-In-Service additions, retirements, transfers and adjustments.  From SCE internal acounting records.</t>
  </si>
  <si>
    <t>5) Includes balances for SCE Incentive Projects.</t>
  </si>
  <si>
    <t>7) Amount in matrix on lines 41 to 52 minus amount in matrix on lines 67 to 78</t>
  </si>
  <si>
    <t>8) Amount in "Total Transmission Activity Not Including Incentive Plant Activity" matrix divided by Total on Line 92 for each account/month.</t>
  </si>
  <si>
    <t>1) ISO Depreciation Expense (See Note 3)</t>
  </si>
  <si>
    <t>2) Total Transmission Allocation Factors (See Note 4)</t>
  </si>
  <si>
    <t>-%</t>
  </si>
  <si>
    <t>3) Calculation of Non-Incentive ISO Reserve</t>
  </si>
  <si>
    <t>A) Change in Depreciation Reserve - ISO (See Note 5)</t>
  </si>
  <si>
    <t>B) Total Depreciation Expense (See Note 6)</t>
  </si>
  <si>
    <t>C) Other Activity (See Note 7)</t>
  </si>
  <si>
    <t>4) Other Transmission Activity (See Note 8)</t>
  </si>
  <si>
    <t xml:space="preserve">b) Other Transmission Activity (on Lines 55 to 66) for the same month; and </t>
  </si>
  <si>
    <t xml:space="preserve">b) Other Transmission Activity for May of the Prior Year (on Line 59, Column 5); and </t>
  </si>
  <si>
    <t>4) From 6-PlantInService, Lines 93 to 104.</t>
  </si>
  <si>
    <t>8) Multiply the montly "Total Transmission Allocation Factors" ratios found in Lines 40-51 by the</t>
  </si>
  <si>
    <t>"Other Activity" on Line 54.</t>
  </si>
  <si>
    <t>Electric Miscellaneous Intangible Plant - ISO</t>
  </si>
  <si>
    <t>General Plant - ISO</t>
  </si>
  <si>
    <t>4) Enter "Shortfall or Excess Revenue in Previous Annual Update" on Line 11, or other appropriate (from Previous Annual Update, Line 23, Column 9).</t>
  </si>
  <si>
    <t>1) Use weighted average (by time) of the Return on Equity in effect during the Prior Year in determining the "Cost of Capital Rate" on Line 19</t>
  </si>
  <si>
    <t>See Line f below</t>
  </si>
  <si>
    <t>Prior Year Authorized PBOPs Expense Amount</t>
  </si>
  <si>
    <t>Authorized PBOPs Expense Amount during Prior Year</t>
  </si>
  <si>
    <t>in accordance with the tariff protocols.  Accordingly, any amount different than the authorized PBOPs expense</t>
  </si>
  <si>
    <t>during the Prior Year is excluded from account 926 (see note 3).  Docket or Decision approving authorized PBOPs amount:</t>
  </si>
  <si>
    <t>1) Depreciation rates on Lines 17a-17m input from Schedule 18.  However, in the event of a change in depreciation rates approved by the Commission,</t>
  </si>
  <si>
    <t>use Commission-approved depreciation rates that were in effect during the Prior Year.</t>
  </si>
  <si>
    <t xml:space="preserve">to a Section 205 or 206 filing.  </t>
  </si>
  <si>
    <t>100%</t>
  </si>
  <si>
    <t>0%</t>
  </si>
  <si>
    <t>6) See Column 9 for references to source of each  Percent ISO.</t>
  </si>
  <si>
    <t xml:space="preserve">a filing at the Commission.  Investment Tax Credit Flowed Through amount shall be negative $520,000 through the Prior Year of 2018, </t>
  </si>
  <si>
    <t>Weighted Average ADIT:</t>
  </si>
  <si>
    <t>5) Tax Normalization Calculation Pursuant to Treas. Reg §1.167(l)-1(h)(6); PLR 9313008; 9202029; 922404; 201717008</t>
  </si>
  <si>
    <t>Col 5 / Tot. Days</t>
  </si>
  <si>
    <t>= Col 2 * Col 6</t>
  </si>
  <si>
    <t>Mthly Deferred</t>
  </si>
  <si>
    <t xml:space="preserve">Deferred </t>
  </si>
  <si>
    <t>Number of Days</t>
  </si>
  <si>
    <t>Prorata</t>
  </si>
  <si>
    <t xml:space="preserve">Monthly </t>
  </si>
  <si>
    <t>Annual Accumulated</t>
  </si>
  <si>
    <t>Future Test Period</t>
  </si>
  <si>
    <t>Tax Amount</t>
  </si>
  <si>
    <t>Tax Balance</t>
  </si>
  <si>
    <t>Days in Month</t>
  </si>
  <si>
    <t>Left in Period</t>
  </si>
  <si>
    <t>Percentages</t>
  </si>
  <si>
    <t>Prorata Amounts</t>
  </si>
  <si>
    <t>Prorata Calculation</t>
  </si>
  <si>
    <t>Weighted Average ADIT Balance:</t>
  </si>
  <si>
    <t>1) The monthly deferred tax amounts are equal to the ending ADIT balance minus the beginning ADIT balance, divided by 12 months.</t>
  </si>
  <si>
    <t>2) For January through December = previous month balance plus amount in Column 2.</t>
  </si>
  <si>
    <t>3) The weighted average ADIT Balance is equal to the summation of Col. 8, Lines 805 through 817, divided by 13 months.</t>
  </si>
  <si>
    <t>= Prior Month C9
 + C4 + C8</t>
  </si>
  <si>
    <t>4o</t>
  </si>
  <si>
    <t>Conn-Charge - Residential</t>
  </si>
  <si>
    <t>4p</t>
  </si>
  <si>
    <t>Conn-Charge - Non-Residential</t>
  </si>
  <si>
    <t>4q</t>
  </si>
  <si>
    <t>Conn-Charge - At Pole</t>
  </si>
  <si>
    <t>At End of Year ("EOY") for Prior Year:</t>
  </si>
  <si>
    <t xml:space="preserve">1) Calculation of "Long Term Debt Cost Percentage" </t>
  </si>
  <si>
    <t>Total Annual Cost of Outstanding Series Debt:</t>
  </si>
  <si>
    <t>Total Annual Amortized Loss on Reacquired Debt:</t>
  </si>
  <si>
    <t>Total Annual Cost of Debt:</t>
  </si>
  <si>
    <t>= L1 + L2</t>
  </si>
  <si>
    <t>Total "Principal Amount Outstanding" Debt:</t>
  </si>
  <si>
    <t xml:space="preserve">Total Reacquired Debt: </t>
  </si>
  <si>
    <t>Total Unamortized Loss on Reacquired Debt:</t>
  </si>
  <si>
    <t>Total Debt Balance:</t>
  </si>
  <si>
    <t>= L5 + L6 + L7</t>
  </si>
  <si>
    <t>Long Term Debt Cost Percentage:</t>
  </si>
  <si>
    <t>= L3 / L8</t>
  </si>
  <si>
    <t>2) Long Term Debt Information for each Outstanding Series</t>
  </si>
  <si>
    <t>FF1 256, Col a</t>
  </si>
  <si>
    <t>FF1 256, Col d</t>
  </si>
  <si>
    <t>FF1 256, Col e</t>
  </si>
  <si>
    <t>FF1 256, Col b</t>
  </si>
  <si>
    <t>Section 4</t>
  </si>
  <si>
    <t>= Col 5 - Col 7</t>
  </si>
  <si>
    <t>= Col 5 * Col 9</t>
  </si>
  <si>
    <t>Series</t>
  </si>
  <si>
    <t>Date of Offering</t>
  </si>
  <si>
    <t>Maturity Date</t>
  </si>
  <si>
    <t>Coupon Rate</t>
  </si>
  <si>
    <t>Principal Amount Oustanding ($000s)</t>
  </si>
  <si>
    <t>Amort-ization Period (Years)</t>
  </si>
  <si>
    <t>Net Discount &amp; Issuance Cost ($000s)</t>
  </si>
  <si>
    <t>Net Proceeds ($000s)</t>
  </si>
  <si>
    <t>Cost of 
Money</t>
  </si>
  <si>
    <t>Annual Cost  ($000s)</t>
  </si>
  <si>
    <t>Comments:  See below</t>
  </si>
  <si>
    <t>Comments for Section 2 "Long Term Debt Information for each Outstanding Series":</t>
  </si>
  <si>
    <t>Comment #:</t>
  </si>
  <si>
    <t>Comment</t>
  </si>
  <si>
    <t>Total Principal Amount Outstanding (sum of above * 1,000):</t>
  </si>
  <si>
    <t>Total Annual Cost (sum of above * 1,000):</t>
  </si>
  <si>
    <t>3) Long Term Debt Information for each Reacquired Series</t>
  </si>
  <si>
    <t>Principal Amount ($000s)</t>
  </si>
  <si>
    <t>Comment #</t>
  </si>
  <si>
    <t>Total Principal Amount (sum of above * 1,000):</t>
  </si>
  <si>
    <t>Comments for Section 3 "Long Term Debt Information for each Reacquired Series":</t>
  </si>
  <si>
    <t>4)  Debt Issuance Cost and Discount Details for each Outstanding Series</t>
  </si>
  <si>
    <t>Unamortized Debt Issuance Cost (Dec of Prior Year)</t>
  </si>
  <si>
    <t>Total Unamortized Debt Discounts (Dec of PY)</t>
  </si>
  <si>
    <t>5) Loss on Reacquired Debt Cost Details</t>
  </si>
  <si>
    <t>Unamortized Loss (Dec of PY) ('000s)</t>
  </si>
  <si>
    <t>Amortized Loss ('000s)</t>
  </si>
  <si>
    <t>5) Loss on Reacquired Debt Cost Details (Continued)</t>
  </si>
  <si>
    <t>Totals (sum of above * 1000):</t>
  </si>
  <si>
    <t>1) Equal to maturity date less end of the year for prior year</t>
  </si>
  <si>
    <t>2) 18 CFR 35.13 (22) Statement AV - Rate of Return (ii)(B)(6) Cost of money</t>
  </si>
  <si>
    <t>1) Calculation of "Preferred Stock Cost Percentage"</t>
  </si>
  <si>
    <t>Total Annual Cost of Preferred Stock:</t>
  </si>
  <si>
    <t>Total Reacquired Preferred Stock Cost:</t>
  </si>
  <si>
    <t>Total Annual Cost of Preferred:</t>
  </si>
  <si>
    <t>Total Preferred Stock Amount Outstanding:</t>
  </si>
  <si>
    <t>Total Unamortized Issuance Costs:</t>
  </si>
  <si>
    <t>Total Preferred Balance:</t>
  </si>
  <si>
    <t>= L5 - L6</t>
  </si>
  <si>
    <t>Preferred Stock Cost Percentage:</t>
  </si>
  <si>
    <t>= L3 / L7</t>
  </si>
  <si>
    <t>2) Preferred Stock Information for each Outstanding Series</t>
  </si>
  <si>
    <t>FF1 250, Col a</t>
  </si>
  <si>
    <t>FF1 251, Col f</t>
  </si>
  <si>
    <t>Sec 3, Col 2</t>
  </si>
  <si>
    <t>= Col 4 - Col 5</t>
  </si>
  <si>
    <t>= Col 6 / Col 4</t>
  </si>
  <si>
    <t>= Col 3 / Col 7</t>
  </si>
  <si>
    <t>= Col 4 * Col 8</t>
  </si>
  <si>
    <t>Issue Date</t>
  </si>
  <si>
    <t>Dividend Rate</t>
  </si>
  <si>
    <t>Face Value / Amount Oustanding ('000s)</t>
  </si>
  <si>
    <t>Total Issuance Cost ('000s)</t>
  </si>
  <si>
    <t>Net Proceeds at Issuance ('000s)</t>
  </si>
  <si>
    <t>% of Face Value</t>
  </si>
  <si>
    <t>Cost of Money / Effective Rate</t>
  </si>
  <si>
    <t>Annualized Cost ('000s)</t>
  </si>
  <si>
    <t>Total Amount Outstanding (sum of above * 1,000):</t>
  </si>
  <si>
    <t>3)  Preferred Stock Issuance Cost Details for each Outstanding Series</t>
  </si>
  <si>
    <t>Same list as in Section 2</t>
  </si>
  <si>
    <t>Unamortized Issuance Cost ('000s)</t>
  </si>
  <si>
    <t>Full Amortization Period</t>
  </si>
  <si>
    <t>4)  Reacquired Preferred Stock Information</t>
  </si>
  <si>
    <t>Call Date</t>
  </si>
  <si>
    <t>Total Issuance Cost</t>
  </si>
  <si>
    <t>Amortization Period</t>
  </si>
  <si>
    <t>Issuance Amortization Cost ('000s)</t>
  </si>
  <si>
    <t>9) Amounts in Columns 2-14 are from SCE internal records.</t>
  </si>
  <si>
    <t>10) Amounts in Columns 2-14 are from SCE internal records.</t>
  </si>
  <si>
    <t xml:space="preserve">3) Amount in Column 2 from FF1 112.20d, amount in Column 14 from FF1 112.20c, amounts in columns 3-13 from SCE internal records. </t>
  </si>
  <si>
    <t xml:space="preserve">4) Amount in Column 2 from FF1 112.21d, amount in Column 14 from FF1 112.21c, amounts in columns 3-13 from SCE internal records. </t>
  </si>
  <si>
    <t xml:space="preserve">5) Amount in Column 2 from FF1 112.22c, amount in Column 14 from FF1 112.22d, amounts in columns 3-13 from SCE internal records. </t>
  </si>
  <si>
    <t xml:space="preserve">6) Amount in Column 2 from FF1 112.23c, amount in Column 14 from FF1 112.23d, amounts in columns 3-13 from SCE internal records. </t>
  </si>
  <si>
    <t xml:space="preserve">7) Amount in Column 2 from FF1 111.69c, amount in Column 14 from FF1 111.69d, amounts in columns 3-13 from SCE internal records. </t>
  </si>
  <si>
    <t xml:space="preserve">8) Amount in Column 2 from FF1 111.81c, amount in Column 14 from FF1 111.81d, amounts in columns 3-13 from SCE internal records. </t>
  </si>
  <si>
    <t xml:space="preserve">11) Amount in Column 2 from FF1 112.3d, amount in Column 14 from FF1 112.3c, amounts in columns 3-13 from SCE internal records. </t>
  </si>
  <si>
    <t>12) Amounts in Columns 2-14 are from SCE internal records.</t>
  </si>
  <si>
    <t>13) Amounts in Columns 2-14 are from SCE internal records.</t>
  </si>
  <si>
    <t xml:space="preserve">14) Amount in Column 2 from FF1 112.16c, amount in Column 14 from FF1 112.16d, amounts in columns 3-13 from SCE internal records. </t>
  </si>
  <si>
    <t xml:space="preserve">15) Amount in Column 2 from FF1 112.12c, amount in Column 14 from FF1 112.12d, amounts in columns 3-13 from SCE internal records. </t>
  </si>
  <si>
    <t>16) Amount in Column 2 from FF1 112.15c, amount in Column 14 from FF1 112.15d, amounts in columns 3-13 from SCE internal records.</t>
  </si>
  <si>
    <t>Preferred Stock Amount -- Account 204 (Note 11):</t>
  </si>
  <si>
    <t>Net Gain (Loss) From Purchase and Tender Offers Note 13):</t>
  </si>
  <si>
    <t>Total Proprietary Capital (Note 14):</t>
  </si>
  <si>
    <t>Unappropriated Undist. Sub. Earnings -- Acct. 216.1 (Note 15): enter - of FF1</t>
  </si>
  <si>
    <t>Accumulated Other Comprehensive Loss -- Account 219 (Note 16): enter - of FF1</t>
  </si>
  <si>
    <t>Unamortized Premium on Long Term Debt -- Account 225 (Note 5)</t>
  </si>
  <si>
    <t>Removal of Long Term Debt Related to Fuel Inventories (Note 9)</t>
  </si>
  <si>
    <t>Adjustments related to "LT Debt Related to Fuel Inventories" (Note 10)</t>
  </si>
  <si>
    <t xml:space="preserve"> Long Term Debt Advances from Associated Companies (Note 3):</t>
  </si>
  <si>
    <t>Other Long Term Debt -- Account 224 (Note 4):</t>
  </si>
  <si>
    <t>Less Unamortized Discount on Long Term Debt -- Account 226</t>
  </si>
  <si>
    <t>Unamortized Debt Expenses -- Account 181</t>
  </si>
  <si>
    <t>Unamortized Loss on Reacquired Debt -- Account 189</t>
  </si>
  <si>
    <t xml:space="preserve">After tax amount of Unamortized Loss on Reacquired Debt </t>
  </si>
  <si>
    <t>Removal of Long Term Debt Related to Fuel Inventories</t>
  </si>
  <si>
    <t>Adjustments related to "LT Debt Related to Fuel Inventories"</t>
  </si>
  <si>
    <t>13-month avg.; enter negative</t>
  </si>
  <si>
    <t>5-ROR-2, Line 6</t>
  </si>
  <si>
    <t>5-ROR-2, Line 7</t>
  </si>
  <si>
    <t>5-ROR-2, Line 8</t>
  </si>
  <si>
    <t>1-BaseTRR, Line 59</t>
  </si>
  <si>
    <t>Line 7 * (1- Line 8)</t>
  </si>
  <si>
    <t>5-ROR-2, Line 9</t>
  </si>
  <si>
    <t>5-ROR-2, Line 10</t>
  </si>
  <si>
    <t>Sum of Lines 1 to 6 and 9 to 11</t>
  </si>
  <si>
    <t>actual non-capitalized A&amp;G NOIC payout.</t>
  </si>
  <si>
    <t>Less Unamortized Discount on Long Term Debt -- Account 226 (Note 6): enter - of FF1</t>
  </si>
  <si>
    <t>Unamortized Debt Expenses -- Account 181 (Note 7): enter - of FF1</t>
  </si>
  <si>
    <t>Unamortized Loss on Reacquired Debt -- Account 189 (Note 8): enter - of FF1</t>
  </si>
  <si>
    <t>Unamortized Issuance Costs (Note 12): enter - of FF1</t>
  </si>
  <si>
    <t>Previous Annual Update:</t>
  </si>
  <si>
    <t>Instruction 3: Classify any ADIT line items relating to refunding and retirement of debt as Plant related (Column 5).</t>
  </si>
  <si>
    <t>a) Depreciation Expense (on Lines 27 to 38) for the same month;</t>
  </si>
  <si>
    <t>6) Monthly differences from previous matrix.  Other columns from SCE internal accounting records.</t>
  </si>
  <si>
    <t>1/8 (O&amp;M + A&amp;G)</t>
  </si>
  <si>
    <t>Excess Deferred Tax Liability - 2017 TCAJA</t>
  </si>
  <si>
    <r>
      <rPr>
        <b/>
        <strike/>
        <sz val="10"/>
        <color rgb="FFFF0000"/>
        <rFont val="Arial"/>
        <family val="2"/>
      </rPr>
      <t>4</t>
    </r>
    <r>
      <rPr>
        <b/>
        <sz val="10"/>
        <color rgb="FFFF0000"/>
        <rFont val="Arial"/>
        <family val="2"/>
      </rPr>
      <t xml:space="preserve"> </t>
    </r>
    <r>
      <rPr>
        <b/>
        <u/>
        <sz val="10"/>
        <color rgb="FFFF0000"/>
        <rFont val="Arial"/>
        <family val="2"/>
      </rPr>
      <t>5</t>
    </r>
  </si>
  <si>
    <r>
      <rPr>
        <b/>
        <strike/>
        <sz val="10"/>
        <color rgb="FFFF0000"/>
        <rFont val="Arial"/>
        <family val="2"/>
      </rPr>
      <t>5</t>
    </r>
    <r>
      <rPr>
        <b/>
        <sz val="10"/>
        <color rgb="FFFF0000"/>
        <rFont val="Arial"/>
        <family val="2"/>
      </rPr>
      <t xml:space="preserve"> </t>
    </r>
    <r>
      <rPr>
        <b/>
        <u/>
        <sz val="10"/>
        <color rgb="FFFF0000"/>
        <rFont val="Arial"/>
        <family val="2"/>
      </rPr>
      <t>6</t>
    </r>
  </si>
  <si>
    <r>
      <rPr>
        <b/>
        <strike/>
        <sz val="10"/>
        <color rgb="FFFF0000"/>
        <rFont val="Arial"/>
        <family val="2"/>
      </rPr>
      <t>6</t>
    </r>
    <r>
      <rPr>
        <b/>
        <sz val="10"/>
        <color rgb="FFFF0000"/>
        <rFont val="Arial"/>
        <family val="2"/>
      </rPr>
      <t xml:space="preserve"> </t>
    </r>
    <r>
      <rPr>
        <b/>
        <u/>
        <sz val="10"/>
        <color rgb="FFFF0000"/>
        <rFont val="Arial"/>
        <family val="2"/>
      </rPr>
      <t>7</t>
    </r>
  </si>
  <si>
    <r>
      <rPr>
        <b/>
        <strike/>
        <sz val="10"/>
        <color rgb="FFFF0000"/>
        <rFont val="Arial"/>
        <family val="2"/>
      </rPr>
      <t>7</t>
    </r>
    <r>
      <rPr>
        <b/>
        <sz val="10"/>
        <color rgb="FFFF0000"/>
        <rFont val="Arial"/>
        <family val="2"/>
      </rPr>
      <t xml:space="preserve"> </t>
    </r>
    <r>
      <rPr>
        <b/>
        <u/>
        <sz val="10"/>
        <color rgb="FFFF0000"/>
        <rFont val="Arial"/>
        <family val="2"/>
      </rPr>
      <t>8</t>
    </r>
  </si>
  <si>
    <r>
      <rPr>
        <b/>
        <strike/>
        <sz val="10"/>
        <color rgb="FFFF0000"/>
        <rFont val="Arial"/>
        <family val="2"/>
      </rPr>
      <t>8</t>
    </r>
    <r>
      <rPr>
        <b/>
        <sz val="10"/>
        <color rgb="FFFF0000"/>
        <rFont val="Arial"/>
        <family val="2"/>
      </rPr>
      <t xml:space="preserve"> </t>
    </r>
    <r>
      <rPr>
        <b/>
        <u/>
        <sz val="10"/>
        <color rgb="FFFF0000"/>
        <rFont val="Arial"/>
        <family val="2"/>
      </rPr>
      <t>9</t>
    </r>
  </si>
  <si>
    <r>
      <rPr>
        <b/>
        <strike/>
        <sz val="10"/>
        <color rgb="FFFF0000"/>
        <rFont val="Arial"/>
        <family val="2"/>
      </rPr>
      <t>9</t>
    </r>
    <r>
      <rPr>
        <b/>
        <sz val="10"/>
        <color rgb="FFFF0000"/>
        <rFont val="Arial"/>
        <family val="2"/>
      </rPr>
      <t xml:space="preserve"> </t>
    </r>
    <r>
      <rPr>
        <b/>
        <u/>
        <sz val="10"/>
        <color rgb="FFFF0000"/>
        <rFont val="Arial"/>
        <family val="2"/>
      </rPr>
      <t>10</t>
    </r>
  </si>
  <si>
    <r>
      <rPr>
        <b/>
        <strike/>
        <sz val="10"/>
        <color rgb="FFFF0000"/>
        <rFont val="Arial"/>
        <family val="2"/>
      </rPr>
      <t>10</t>
    </r>
    <r>
      <rPr>
        <b/>
        <sz val="10"/>
        <color rgb="FFFF0000"/>
        <rFont val="Arial"/>
        <family val="2"/>
      </rPr>
      <t xml:space="preserve"> </t>
    </r>
    <r>
      <rPr>
        <b/>
        <u/>
        <sz val="10"/>
        <color rgb="FFFF0000"/>
        <rFont val="Arial"/>
        <family val="2"/>
      </rPr>
      <t>11</t>
    </r>
  </si>
  <si>
    <r>
      <rPr>
        <b/>
        <strike/>
        <sz val="10"/>
        <color rgb="FFFF0000"/>
        <rFont val="Arial"/>
        <family val="2"/>
      </rPr>
      <t>11</t>
    </r>
    <r>
      <rPr>
        <b/>
        <sz val="10"/>
        <color rgb="FFFF0000"/>
        <rFont val="Arial"/>
        <family val="2"/>
      </rPr>
      <t xml:space="preserve"> </t>
    </r>
    <r>
      <rPr>
        <b/>
        <u/>
        <sz val="10"/>
        <color rgb="FFFF0000"/>
        <rFont val="Arial"/>
        <family val="2"/>
      </rPr>
      <t>12</t>
    </r>
  </si>
  <si>
    <r>
      <rPr>
        <b/>
        <strike/>
        <sz val="10"/>
        <color rgb="FFFF0000"/>
        <rFont val="Arial"/>
        <family val="2"/>
      </rPr>
      <t>12</t>
    </r>
    <r>
      <rPr>
        <b/>
        <sz val="10"/>
        <color rgb="FFFF0000"/>
        <rFont val="Arial"/>
        <family val="2"/>
      </rPr>
      <t xml:space="preserve"> </t>
    </r>
    <r>
      <rPr>
        <b/>
        <u/>
        <sz val="10"/>
        <color rgb="FFFF0000"/>
        <rFont val="Arial"/>
        <family val="2"/>
      </rPr>
      <t>13</t>
    </r>
  </si>
  <si>
    <r>
      <rPr>
        <b/>
        <strike/>
        <sz val="10"/>
        <color rgb="FFFF0000"/>
        <rFont val="Arial"/>
        <family val="2"/>
      </rPr>
      <t>13</t>
    </r>
    <r>
      <rPr>
        <b/>
        <sz val="10"/>
        <color rgb="FFFF0000"/>
        <rFont val="Arial"/>
        <family val="2"/>
      </rPr>
      <t xml:space="preserve"> </t>
    </r>
    <r>
      <rPr>
        <b/>
        <u/>
        <sz val="10"/>
        <color rgb="FFFF0000"/>
        <rFont val="Arial"/>
        <family val="2"/>
      </rPr>
      <t>14</t>
    </r>
  </si>
  <si>
    <r>
      <rPr>
        <b/>
        <strike/>
        <sz val="10"/>
        <color rgb="FFFF0000"/>
        <rFont val="Arial"/>
        <family val="2"/>
      </rPr>
      <t>14</t>
    </r>
    <r>
      <rPr>
        <b/>
        <sz val="10"/>
        <color rgb="FFFF0000"/>
        <rFont val="Arial"/>
        <family val="2"/>
      </rPr>
      <t xml:space="preserve"> </t>
    </r>
    <r>
      <rPr>
        <b/>
        <u/>
        <sz val="10"/>
        <color rgb="FFFF0000"/>
        <rFont val="Arial"/>
        <family val="2"/>
      </rPr>
      <t>15</t>
    </r>
  </si>
  <si>
    <r>
      <t xml:space="preserve">Sum of Lines 1 to </t>
    </r>
    <r>
      <rPr>
        <strike/>
        <sz val="10"/>
        <color rgb="FFFF0000"/>
        <rFont val="Arial"/>
        <family val="2"/>
      </rPr>
      <t>3</t>
    </r>
    <r>
      <rPr>
        <sz val="10"/>
        <color rgb="FFFF0000"/>
        <rFont val="Arial"/>
        <family val="2"/>
      </rPr>
      <t xml:space="preserve"> </t>
    </r>
    <r>
      <rPr>
        <u/>
        <sz val="10"/>
        <color rgb="FFFF0000"/>
        <rFont val="Arial"/>
        <family val="2"/>
      </rPr>
      <t>4</t>
    </r>
  </si>
  <si>
    <r>
      <t xml:space="preserve">Previous Year Informational Filing, Line </t>
    </r>
    <r>
      <rPr>
        <strike/>
        <sz val="10"/>
        <color rgb="FFFF0000"/>
        <rFont val="Arial"/>
        <family val="2"/>
      </rPr>
      <t>4</t>
    </r>
    <r>
      <rPr>
        <sz val="10"/>
        <color rgb="FFFF0000"/>
        <rFont val="Arial"/>
        <family val="2"/>
      </rPr>
      <t xml:space="preserve"> </t>
    </r>
    <r>
      <rPr>
        <u/>
        <sz val="10"/>
        <color rgb="FFFF0000"/>
        <rFont val="Arial"/>
        <family val="2"/>
      </rPr>
      <t>5</t>
    </r>
    <r>
      <rPr>
        <sz val="10"/>
        <color theme="1"/>
        <rFont val="Arial"/>
        <family val="2"/>
      </rPr>
      <t>, Col. 2</t>
    </r>
  </si>
  <si>
    <r>
      <t xml:space="preserve">Beginning Deferred Tax Balance (Line </t>
    </r>
    <r>
      <rPr>
        <strike/>
        <sz val="10"/>
        <color rgb="FFFF0000"/>
        <rFont val="Arial"/>
        <family val="2"/>
      </rPr>
      <t>9</t>
    </r>
    <r>
      <rPr>
        <sz val="10"/>
        <color rgb="FFFF0000"/>
        <rFont val="Arial"/>
        <family val="2"/>
      </rPr>
      <t xml:space="preserve"> </t>
    </r>
    <r>
      <rPr>
        <u/>
        <sz val="10"/>
        <color rgb="FFFF0000"/>
        <rFont val="Arial"/>
        <family val="2"/>
      </rPr>
      <t>10</t>
    </r>
    <r>
      <rPr>
        <sz val="10"/>
        <rFont val="Arial"/>
        <family val="2"/>
      </rPr>
      <t>, Col. 2)</t>
    </r>
  </si>
  <si>
    <r>
      <t xml:space="preserve">Ending Balance (Line </t>
    </r>
    <r>
      <rPr>
        <strike/>
        <sz val="10"/>
        <color rgb="FFFF0000"/>
        <rFont val="Arial"/>
        <family val="2"/>
      </rPr>
      <t>4</t>
    </r>
    <r>
      <rPr>
        <sz val="10"/>
        <color rgb="FFFF0000"/>
        <rFont val="Arial"/>
        <family val="2"/>
      </rPr>
      <t xml:space="preserve"> </t>
    </r>
    <r>
      <rPr>
        <u/>
        <sz val="10"/>
        <color rgb="FFFF0000"/>
        <rFont val="Arial"/>
        <family val="2"/>
      </rPr>
      <t>5</t>
    </r>
    <r>
      <rPr>
        <sz val="10"/>
        <rFont val="Arial"/>
        <family val="2"/>
      </rPr>
      <t>, Col. 2)</t>
    </r>
  </si>
  <si>
    <r>
      <t xml:space="preserve">9-ADIT, Line </t>
    </r>
    <r>
      <rPr>
        <strike/>
        <sz val="10"/>
        <color rgb="FFFF0000"/>
        <rFont val="Arial"/>
        <family val="2"/>
      </rPr>
      <t>14</t>
    </r>
    <r>
      <rPr>
        <sz val="10"/>
        <color rgb="FFFF0000"/>
        <rFont val="Arial"/>
        <family val="2"/>
      </rPr>
      <t xml:space="preserve"> </t>
    </r>
    <r>
      <rPr>
        <u/>
        <sz val="10"/>
        <color rgb="FFFF0000"/>
        <rFont val="Arial"/>
        <family val="2"/>
      </rPr>
      <t>15</t>
    </r>
  </si>
  <si>
    <r>
      <t xml:space="preserve">9-ADIT, Line </t>
    </r>
    <r>
      <rPr>
        <strike/>
        <sz val="10"/>
        <color rgb="FFFF0000"/>
        <rFont val="Arial"/>
        <family val="2"/>
      </rPr>
      <t>4</t>
    </r>
    <r>
      <rPr>
        <sz val="10"/>
        <color rgb="FFFF0000"/>
        <rFont val="Arial"/>
        <family val="2"/>
      </rPr>
      <t xml:space="preserve"> </t>
    </r>
    <r>
      <rPr>
        <u/>
        <sz val="10"/>
        <color rgb="FFFF0000"/>
        <rFont val="Arial"/>
        <family val="2"/>
      </rPr>
      <t>5</t>
    </r>
    <r>
      <rPr>
        <sz val="10"/>
        <rFont val="Arial"/>
        <family val="2"/>
      </rPr>
      <t>, Col. 2</t>
    </r>
  </si>
  <si>
    <t xml:space="preserve">4) In the event that either the Federal or State Income Tax Rate applicable to the Rate Year differs from that in effect </t>
  </si>
  <si>
    <t>during the Prior Year, the True Up TRR for the Prior Year will be calculated utilizing the same Formula Rate</t>
  </si>
  <si>
    <t>Spreadsheet except for the Income Tax rate(s).  The difference between the True Up TRR calculated in such</t>
  </si>
  <si>
    <t xml:space="preserve">workpaper using the Income Tax Rates that were in effect during the Prior Year and the True Up TRR otherwise </t>
  </si>
  <si>
    <t xml:space="preserve">the Formula Spreadsheet correctly calculates the True Up TRR for the Prior Year to be based on the Income Tax </t>
  </si>
  <si>
    <t>Rate(s) that were in effect during that year.  For the Prior Years of 2016 and 2017, both of which will have</t>
  </si>
  <si>
    <t>Income Tax Rates that differ between the Prior Year and the Rate Year due to the passage of the 2017 Tax Cuts and</t>
  </si>
  <si>
    <t>Jobs Act, this provision will be implemented as part of the Section 6 of the Formula Rate Protocols, which will</t>
  </si>
  <si>
    <t>calculate the True Up TRR for those years based on a Federal Income Tax Rate of 35%.</t>
  </si>
  <si>
    <r>
      <rPr>
        <b/>
        <u/>
        <sz val="10"/>
        <color rgb="FFFF0000"/>
        <rFont val="Arial"/>
        <family val="2"/>
      </rPr>
      <t>Rate</t>
    </r>
    <r>
      <rPr>
        <b/>
        <sz val="10"/>
        <color rgb="FFFF0000"/>
        <rFont val="Arial"/>
        <family val="2"/>
      </rPr>
      <t xml:space="preserve"> </t>
    </r>
    <r>
      <rPr>
        <b/>
        <strike/>
        <sz val="10"/>
        <color rgb="FFFF0000"/>
        <rFont val="Arial"/>
        <family val="2"/>
      </rPr>
      <t>Prior</t>
    </r>
  </si>
  <si>
    <r>
      <t>Note 1</t>
    </r>
    <r>
      <rPr>
        <u/>
        <sz val="10"/>
        <color rgb="FFFF0000"/>
        <rFont val="Arial"/>
        <family val="2"/>
      </rPr>
      <t>, Note 4</t>
    </r>
  </si>
  <si>
    <r>
      <t xml:space="preserve">3) No change in </t>
    </r>
    <r>
      <rPr>
        <u/>
        <sz val="10"/>
        <color rgb="FFFF0000"/>
        <rFont val="Arial"/>
        <family val="2"/>
      </rPr>
      <t>the</t>
    </r>
    <r>
      <rPr>
        <sz val="10"/>
        <rFont val="Arial"/>
        <family val="2"/>
      </rPr>
      <t xml:space="preserve"> </t>
    </r>
    <r>
      <rPr>
        <strike/>
        <sz val="10"/>
        <color rgb="FFFF0000"/>
        <rFont val="Arial"/>
        <family val="2"/>
      </rPr>
      <t>Amortization of Excess Deferred Tax Liability or</t>
    </r>
    <r>
      <rPr>
        <sz val="10"/>
        <rFont val="Arial"/>
        <family val="2"/>
      </rPr>
      <t xml:space="preserve"> South Georgia Income Tax Adjustment "Credits and Other" term</t>
    </r>
    <r>
      <rPr>
        <strike/>
        <sz val="10"/>
        <color rgb="FFFF0000"/>
        <rFont val="Arial"/>
        <family val="2"/>
      </rPr>
      <t>s</t>
    </r>
    <r>
      <rPr>
        <sz val="10"/>
        <rFont val="Arial"/>
        <family val="2"/>
      </rPr>
      <t xml:space="preserve"> will be made absent </t>
    </r>
  </si>
  <si>
    <t xml:space="preserve">negative $183,000 for the Prior Year of 2019, and $0 thereafter.  </t>
  </si>
  <si>
    <t>FF1 278</t>
  </si>
  <si>
    <t xml:space="preserve">calculated by this formula shall be entered as a One Time Adjustment on Schedule 3, ensuring that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</si>
</sst>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00%"/>
    <numFmt numFmtId="172" formatCode="&quot;$&quot;#,##0.00000"/>
    <numFmt numFmtId="173" formatCode="0.0000"/>
    <numFmt numFmtId="174" formatCode="_(&quot;$&quot;* #,##0.00_);_(&quot;$&quot;* \(#,##0.00\);_(&quot;$&quot;* &quot;-&quot;_);_(@_)"/>
    <numFmt numFmtId="175" formatCode="_-* #,##0.00\ _D_M_-;\-* #,##0.00\ _D_M_-;_-* &quot;-&quot;??\ _D_M_-;_-@_-"/>
    <numFmt numFmtId="176" formatCode="_-* #,##0\ _D_M_-;\-* #,##0\ _D_M_-;_-* &quot;-&quot;??\ _D_M_-;_-@_-"/>
    <numFmt numFmtId="177" formatCode="_(&quot;$&quot;* #,##0_);_(&quot;$&quot;* \(#,##0\);_(&quot;$&quot;* &quot;-&quot;??_);_(@_)"/>
    <numFmt numFmtId="178" formatCode="#,##0.0_);[Red]\(#,##0.0\)"/>
    <numFmt numFmtId="179" formatCode="&quot;$&quot;#,##0.000000"/>
    <numFmt numFmtId="180" formatCode="General_)"/>
    <numFmt numFmtId="181" formatCode="m/yy"/>
    <numFmt numFmtId="182" formatCode="0.0"/>
    <numFmt numFmtId="183" formatCode="0.0000000000000000%"/>
  </numFmts>
  <fonts count="7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
      <b/>
      <u/>
      <sz val="10"/>
      <color rgb="FFFF0000"/>
      <name val="Arial"/>
      <family val="2"/>
    </font>
    <font>
      <sz val="10"/>
      <color theme="0" tint="-0.34998626667073579"/>
      <name val="Arial"/>
      <family val="2"/>
    </font>
    <font>
      <sz val="10"/>
      <name val="Helv"/>
    </font>
    <font>
      <sz val="8"/>
      <name val="Helv"/>
    </font>
    <font>
      <sz val="10"/>
      <color rgb="FF0070C0"/>
      <name val="Arial"/>
      <family val="2"/>
    </font>
    <font>
      <b/>
      <sz val="9"/>
      <name val="Arial"/>
      <family val="2"/>
    </font>
    <font>
      <u val="singleAccounting"/>
      <sz val="10"/>
      <color rgb="FFFF0000"/>
      <name val="Arial"/>
      <family val="2"/>
    </font>
  </fonts>
  <fills count="39">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s>
  <cellStyleXfs count="138">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5"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5"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5"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xf numFmtId="180" fontId="69" fillId="0" borderId="0"/>
    <xf numFmtId="39" fontId="70" fillId="0" borderId="0"/>
  </cellStyleXfs>
  <cellXfs count="1220">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0" fontId="11" fillId="0" borderId="0" xfId="28" applyFont="1" applyFill="1" applyBorder="1" applyAlignment="1">
      <alignment horizontal="center"/>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5" fontId="0" fillId="0" borderId="0" xfId="0" applyNumberFormat="1" applyFill="1"/>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4"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0" fontId="40" fillId="0" borderId="0" xfId="0" applyFont="1" applyFill="1"/>
    <xf numFmtId="10" fontId="40" fillId="0" borderId="0" xfId="0" applyNumberFormat="1" applyFont="1" applyFill="1"/>
    <xf numFmtId="0" fontId="38" fillId="0" borderId="0" xfId="0" applyFont="1" applyAlignment="1">
      <alignment horizontal="center"/>
    </xf>
    <xf numFmtId="0" fontId="43" fillId="0" borderId="0" xfId="0" applyFont="1" applyAlignment="1">
      <alignment horizontal="center"/>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5"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5"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6"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6"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7"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8" fontId="7" fillId="34" borderId="0" xfId="35" applyNumberFormat="1" applyFont="1" applyFill="1" applyAlignment="1">
      <alignment horizontal="left"/>
    </xf>
    <xf numFmtId="178" fontId="7" fillId="0" borderId="0" xfId="35" applyNumberFormat="1" applyFont="1" applyFill="1" applyAlignment="1">
      <alignment horizontal="left"/>
    </xf>
    <xf numFmtId="164" fontId="7" fillId="0" borderId="0" xfId="0" applyNumberFormat="1" applyFont="1"/>
    <xf numFmtId="178"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6" fontId="0" fillId="0" borderId="0" xfId="0" applyNumberFormat="1"/>
    <xf numFmtId="0" fontId="8" fillId="0" borderId="0" xfId="0" applyFont="1" applyAlignment="1">
      <alignment horizontal="center"/>
    </xf>
    <xf numFmtId="179"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7"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1" fontId="0" fillId="0" borderId="0" xfId="0" applyNumberFormat="1"/>
    <xf numFmtId="0" fontId="7" fillId="36" borderId="0" xfId="0" applyFont="1" applyFill="1" applyAlignment="1">
      <alignment horizontal="center"/>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2"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8"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8"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8" fontId="8" fillId="0" borderId="3" xfId="35" applyNumberFormat="1" applyFont="1" applyFill="1" applyBorder="1" applyAlignment="1">
      <alignment horizontal="center"/>
    </xf>
    <xf numFmtId="172" fontId="7" fillId="0" borderId="0" xfId="126" quotePrefix="1" applyNumberFormat="1" applyFill="1" applyAlignment="1">
      <alignment horizontal="center"/>
    </xf>
    <xf numFmtId="164" fontId="7" fillId="0" borderId="0" xfId="126" applyNumberFormat="1" applyAlignment="1">
      <alignment horizontal="right"/>
    </xf>
    <xf numFmtId="172"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8"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8"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3"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0" fontId="0" fillId="0" borderId="0" xfId="0" quotePrefix="1" applyFill="1"/>
    <xf numFmtId="0" fontId="0" fillId="0" borderId="0" xfId="0" applyFill="1" applyAlignment="1">
      <alignment horizontal="left"/>
    </xf>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40" fillId="0" borderId="0" xfId="0" applyFont="1" applyFill="1" applyAlignment="1">
      <alignment horizontal="left"/>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0" fontId="7" fillId="0" borderId="0" xfId="126" quotePrefix="1" applyFont="1" applyFill="1" applyAlignment="1">
      <alignment horizontal="center" vertical="center" wrapText="1"/>
    </xf>
    <xf numFmtId="0" fontId="63"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8"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3" fillId="0" borderId="0" xfId="126" quotePrefix="1" applyFont="1" applyAlignment="1">
      <alignment horizontal="center" wrapText="1"/>
    </xf>
    <xf numFmtId="0" fontId="65" fillId="0" borderId="0" xfId="126" quotePrefix="1" applyFont="1" applyAlignment="1">
      <alignment horizontal="center"/>
    </xf>
    <xf numFmtId="0" fontId="65" fillId="0" borderId="0" xfId="126" quotePrefix="1" applyFont="1" applyBorder="1" applyAlignment="1">
      <alignment horizontal="center"/>
    </xf>
    <xf numFmtId="2" fontId="66" fillId="0" borderId="19" xfId="126" applyNumberFormat="1" applyFont="1" applyBorder="1" applyAlignment="1">
      <alignment horizontal="center" wrapText="1"/>
    </xf>
    <xf numFmtId="2" fontId="66" fillId="0" borderId="0" xfId="126" applyNumberFormat="1" applyFont="1" applyBorder="1" applyAlignment="1">
      <alignment horizontal="center" wrapText="1"/>
    </xf>
    <xf numFmtId="2" fontId="63" fillId="0" borderId="0" xfId="126" applyNumberFormat="1" applyFont="1"/>
    <xf numFmtId="164" fontId="63" fillId="0" borderId="0" xfId="126" applyNumberFormat="1" applyFont="1" applyFill="1"/>
    <xf numFmtId="1" fontId="63"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37" fontId="7" fillId="0" borderId="0" xfId="0" applyNumberFormat="1" applyFont="1" applyFill="1" applyAlignment="1">
      <alignment horizontal="left" indent="1"/>
    </xf>
    <xf numFmtId="42" fontId="7" fillId="34" borderId="0" xfId="0" applyNumberFormat="1" applyFont="1" applyFill="1"/>
    <xf numFmtId="0" fontId="39" fillId="0" borderId="0" xfId="0" applyFont="1" applyFill="1" applyAlignment="1">
      <alignment horizontal="left" indent="1"/>
    </xf>
    <xf numFmtId="166" fontId="7" fillId="0" borderId="0" xfId="0" applyNumberFormat="1" applyFont="1" applyFill="1" applyAlignment="1">
      <alignment horizontal="left" indent="1"/>
    </xf>
    <xf numFmtId="0" fontId="7" fillId="0" borderId="0" xfId="100" applyNumberFormat="1" applyFont="1" applyFill="1" applyBorder="1" applyAlignment="1">
      <alignment horizontal="left" indent="2"/>
    </xf>
    <xf numFmtId="0" fontId="67" fillId="0" borderId="0" xfId="0" applyFont="1"/>
    <xf numFmtId="0" fontId="44" fillId="0" borderId="0" xfId="0" applyFont="1" applyAlignment="1">
      <alignment horizontal="center"/>
    </xf>
    <xf numFmtId="0" fontId="66" fillId="0" borderId="0" xfId="0" applyFont="1" applyAlignment="1">
      <alignment horizontal="center"/>
    </xf>
    <xf numFmtId="0" fontId="65" fillId="0" borderId="0" xfId="0" applyFont="1" applyAlignment="1">
      <alignment horizontal="center"/>
    </xf>
    <xf numFmtId="42" fontId="22" fillId="0" borderId="0" xfId="0" quotePrefix="1" applyNumberFormat="1" applyFont="1" applyFill="1" applyAlignment="1">
      <alignment horizontal="center"/>
    </xf>
    <xf numFmtId="42" fontId="22" fillId="0" borderId="8" xfId="0" quotePrefix="1" applyNumberFormat="1" applyFont="1" applyFill="1" applyBorder="1" applyAlignment="1">
      <alignment horizontal="center"/>
    </xf>
    <xf numFmtId="37" fontId="7" fillId="36" borderId="3" xfId="22" quotePrefix="1" applyNumberFormat="1" applyFont="1" applyFill="1" applyBorder="1" applyAlignment="1">
      <alignment horizontal="center"/>
    </xf>
    <xf numFmtId="42" fontId="22" fillId="36" borderId="0" xfId="0" applyNumberFormat="1" applyFont="1" applyFill="1"/>
    <xf numFmtId="0" fontId="7" fillId="0" borderId="0" xfId="100" applyFont="1" applyBorder="1" applyAlignment="1"/>
    <xf numFmtId="167" fontId="7" fillId="0" borderId="0" xfId="96" applyNumberFormat="1" applyFont="1" applyFill="1" applyBorder="1" applyAlignment="1">
      <alignment horizontal="right"/>
    </xf>
    <xf numFmtId="167" fontId="7" fillId="0" borderId="0" xfId="100" applyNumberFormat="1" applyFont="1" applyFill="1" applyBorder="1" applyAlignment="1">
      <alignment horizontal="right"/>
    </xf>
    <xf numFmtId="167" fontId="8" fillId="0" borderId="0" xfId="96" applyNumberFormat="1" applyFont="1" applyFill="1" applyBorder="1" applyAlignment="1">
      <alignment horizontal="center"/>
    </xf>
    <xf numFmtId="0" fontId="11" fillId="0" borderId="0" xfId="100" applyFont="1" applyFill="1" applyBorder="1" applyAlignment="1">
      <alignment horizontal="center"/>
    </xf>
    <xf numFmtId="0" fontId="7" fillId="0" borderId="0" xfId="100" applyFont="1" applyFill="1" applyBorder="1"/>
    <xf numFmtId="3" fontId="7" fillId="0" borderId="0" xfId="100" applyNumberFormat="1" applyFont="1" applyFill="1" applyBorder="1" applyAlignment="1">
      <alignment horizontal="left" indent="1"/>
    </xf>
    <xf numFmtId="0" fontId="7" fillId="0" borderId="0" xfId="100" applyNumberFormat="1" applyFont="1" applyFill="1" applyBorder="1" applyAlignment="1">
      <alignment horizontal="right"/>
    </xf>
    <xf numFmtId="164" fontId="7" fillId="0" borderId="0" xfId="96" applyNumberFormat="1" applyFont="1" applyFill="1" applyBorder="1" applyAlignment="1">
      <alignment horizontal="right"/>
    </xf>
    <xf numFmtId="1" fontId="7" fillId="0" borderId="0" xfId="100" applyNumberFormat="1" applyFont="1" applyFill="1" applyBorder="1" applyAlignment="1">
      <alignment horizontal="center"/>
    </xf>
    <xf numFmtId="3" fontId="7" fillId="0" borderId="0" xfId="100" applyNumberFormat="1" applyFont="1" applyFill="1" applyBorder="1" applyAlignment="1"/>
    <xf numFmtId="0" fontId="7" fillId="0" borderId="0" xfId="100" applyFont="1" applyFill="1" applyBorder="1" applyAlignment="1">
      <alignment horizontal="right"/>
    </xf>
    <xf numFmtId="167" fontId="7" fillId="0" borderId="0" xfId="100" quotePrefix="1" applyNumberFormat="1" applyFont="1" applyFill="1" applyBorder="1" applyAlignment="1">
      <alignment horizontal="left" indent="1"/>
    </xf>
    <xf numFmtId="0" fontId="63" fillId="0" borderId="0" xfId="0" applyFont="1" applyFill="1"/>
    <xf numFmtId="0" fontId="66" fillId="0" borderId="0" xfId="0" applyFont="1" applyFill="1" applyAlignment="1">
      <alignment horizontal="center"/>
    </xf>
    <xf numFmtId="0" fontId="8" fillId="36" borderId="0" xfId="28" applyFont="1" applyFill="1" applyBorder="1" applyAlignment="1">
      <alignment horizontal="left"/>
    </xf>
    <xf numFmtId="0" fontId="7" fillId="36" borderId="0" xfId="0" applyNumberFormat="1" applyFont="1" applyFill="1" applyAlignment="1"/>
    <xf numFmtId="0" fontId="0" fillId="36" borderId="0" xfId="0" applyNumberFormat="1" applyFill="1" applyAlignment="1">
      <alignment horizontal="left"/>
    </xf>
    <xf numFmtId="0" fontId="0" fillId="0" borderId="0" xfId="0" applyFill="1" applyAlignment="1"/>
    <xf numFmtId="0" fontId="8" fillId="0" borderId="0" xfId="0" quotePrefix="1" applyFont="1" applyFill="1"/>
    <xf numFmtId="0" fontId="7" fillId="0" borderId="0" xfId="100" quotePrefix="1" applyNumberFormat="1" applyFont="1" applyFill="1" applyBorder="1" applyAlignment="1">
      <alignment horizontal="left"/>
    </xf>
    <xf numFmtId="42" fontId="7" fillId="0" borderId="0" xfId="0" quotePrefix="1" applyNumberFormat="1" applyFont="1" applyBorder="1" applyAlignment="1">
      <alignment horizontal="center"/>
    </xf>
    <xf numFmtId="0" fontId="7" fillId="0" borderId="0" xfId="0" quotePrefix="1" applyFont="1" applyFill="1" applyAlignment="1">
      <alignment horizontal="left"/>
    </xf>
    <xf numFmtId="0" fontId="53" fillId="0" borderId="0" xfId="0" applyFont="1" applyFill="1" applyAlignment="1">
      <alignment horizontal="left" vertical="center" indent="1"/>
    </xf>
    <xf numFmtId="164" fontId="11" fillId="0" borderId="0" xfId="96" applyNumberFormat="1" applyFont="1" applyBorder="1" applyAlignment="1">
      <alignment horizontal="center"/>
    </xf>
    <xf numFmtId="0" fontId="7" fillId="0" borderId="0" xfId="0" applyFont="1" applyFill="1" applyAlignment="1">
      <alignment wrapText="1"/>
    </xf>
    <xf numFmtId="0" fontId="7" fillId="0" borderId="0" xfId="0" quotePrefix="1" applyFont="1" applyFill="1" applyAlignment="1">
      <alignment horizontal="center" wrapText="1"/>
    </xf>
    <xf numFmtId="164" fontId="7" fillId="0" borderId="0" xfId="96" quotePrefix="1" applyNumberFormat="1" applyFont="1" applyBorder="1" applyAlignment="1">
      <alignment horizontal="center"/>
    </xf>
    <xf numFmtId="0" fontId="7" fillId="36" borderId="0" xfId="0" quotePrefix="1" applyFont="1" applyFill="1" applyAlignment="1">
      <alignment horizontal="center" wrapText="1"/>
    </xf>
    <xf numFmtId="164" fontId="8" fillId="0" borderId="0" xfId="96" applyNumberFormat="1" applyFont="1" applyBorder="1" applyAlignment="1">
      <alignment horizontal="center"/>
    </xf>
    <xf numFmtId="0" fontId="8" fillId="0" borderId="0" xfId="0" quotePrefix="1" applyFont="1" applyAlignment="1">
      <alignment horizontal="left" indent="1"/>
    </xf>
    <xf numFmtId="0" fontId="7" fillId="0" borderId="3" xfId="0" quotePrefix="1" applyNumberFormat="1" applyFont="1" applyBorder="1" applyAlignment="1">
      <alignment horizontal="center"/>
    </xf>
    <xf numFmtId="0" fontId="7" fillId="0" borderId="3" xfId="0" applyNumberFormat="1" applyFont="1" applyFill="1" applyBorder="1" applyAlignment="1">
      <alignment horizontal="center"/>
    </xf>
    <xf numFmtId="0" fontId="7" fillId="0" borderId="3" xfId="0" quotePrefix="1" applyNumberFormat="1" applyFont="1" applyFill="1" applyBorder="1" applyAlignment="1">
      <alignment horizontal="left"/>
    </xf>
    <xf numFmtId="0" fontId="7" fillId="0" borderId="4" xfId="0" applyNumberFormat="1" applyFont="1" applyFill="1" applyBorder="1"/>
    <xf numFmtId="37" fontId="7" fillId="36" borderId="3" xfId="97" quotePrefix="1" applyNumberFormat="1" applyFont="1" applyFill="1" applyBorder="1" applyAlignment="1">
      <alignment horizontal="center"/>
    </xf>
    <xf numFmtId="14" fontId="0" fillId="0" borderId="0" xfId="0" applyNumberFormat="1"/>
    <xf numFmtId="0" fontId="39" fillId="0" borderId="0" xfId="0" applyFont="1" applyAlignment="1">
      <alignment horizontal="right"/>
    </xf>
    <xf numFmtId="0" fontId="68" fillId="0" borderId="0" xfId="0" applyFont="1"/>
    <xf numFmtId="1" fontId="8" fillId="0" borderId="0" xfId="136" applyNumberFormat="1" applyFont="1" applyFill="1" applyAlignment="1" applyProtection="1">
      <alignment horizontal="center"/>
    </xf>
    <xf numFmtId="0" fontId="8" fillId="0" borderId="21" xfId="0" applyFont="1" applyBorder="1" applyAlignment="1">
      <alignment horizontal="center"/>
    </xf>
    <xf numFmtId="181" fontId="8" fillId="0" borderId="20" xfId="136" applyNumberFormat="1" applyFont="1" applyBorder="1" applyAlignment="1" applyProtection="1">
      <alignment horizontal="center" wrapText="1"/>
    </xf>
    <xf numFmtId="180" fontId="8" fillId="0" borderId="21" xfId="136" applyFont="1" applyBorder="1" applyAlignment="1" applyProtection="1">
      <alignment horizontal="center" wrapText="1"/>
    </xf>
    <xf numFmtId="180" fontId="8" fillId="0" borderId="18" xfId="136" applyFont="1" applyBorder="1" applyAlignment="1" applyProtection="1">
      <alignment horizontal="center" wrapText="1"/>
    </xf>
    <xf numFmtId="3" fontId="8" fillId="0" borderId="21" xfId="136" applyNumberFormat="1" applyFont="1" applyFill="1" applyBorder="1" applyAlignment="1" applyProtection="1">
      <alignment horizontal="center" wrapText="1"/>
    </xf>
    <xf numFmtId="180" fontId="8" fillId="0" borderId="20" xfId="136" applyFont="1" applyBorder="1" applyAlignment="1" applyProtection="1">
      <alignment horizontal="center" wrapText="1"/>
    </xf>
    <xf numFmtId="180" fontId="8" fillId="0" borderId="21" xfId="136" applyFont="1" applyFill="1" applyBorder="1" applyAlignment="1" applyProtection="1">
      <alignment horizontal="center" wrapText="1"/>
    </xf>
    <xf numFmtId="180" fontId="8" fillId="0" borderId="21" xfId="136" applyFont="1" applyBorder="1" applyAlignment="1">
      <alignment horizontal="center" wrapText="1"/>
    </xf>
    <xf numFmtId="180" fontId="8" fillId="0" borderId="18" xfId="136" applyFont="1" applyFill="1" applyBorder="1" applyAlignment="1" applyProtection="1">
      <alignment horizontal="center" wrapText="1"/>
    </xf>
    <xf numFmtId="39" fontId="20" fillId="36" borderId="0" xfId="137" applyFont="1" applyFill="1" applyAlignment="1" applyProtection="1">
      <alignment horizontal="left" indent="1"/>
    </xf>
    <xf numFmtId="14" fontId="0" fillId="36" borderId="0" xfId="0" applyNumberFormat="1" applyFill="1"/>
    <xf numFmtId="168" fontId="0" fillId="36" borderId="0" xfId="0" applyNumberFormat="1" applyFill="1"/>
    <xf numFmtId="1" fontId="0" fillId="36" borderId="0" xfId="0" applyNumberFormat="1" applyFill="1" applyAlignment="1">
      <alignment horizontal="center"/>
    </xf>
    <xf numFmtId="182" fontId="0" fillId="0" borderId="0" xfId="0" applyNumberFormat="1"/>
    <xf numFmtId="180" fontId="20" fillId="36" borderId="0" xfId="136" applyFont="1" applyFill="1" applyBorder="1" applyAlignment="1">
      <alignment horizontal="left" indent="1"/>
    </xf>
    <xf numFmtId="0" fontId="20" fillId="36" borderId="0" xfId="0" applyFont="1" applyFill="1" applyBorder="1" applyAlignment="1">
      <alignment horizontal="left" indent="1"/>
    </xf>
    <xf numFmtId="39" fontId="20" fillId="36" borderId="0" xfId="137" applyFont="1" applyFill="1" applyBorder="1" applyAlignment="1">
      <alignment horizontal="left" indent="1"/>
    </xf>
    <xf numFmtId="14" fontId="7" fillId="36" borderId="0" xfId="0" applyNumberFormat="1" applyFont="1" applyFill="1"/>
    <xf numFmtId="168" fontId="7" fillId="36" borderId="0" xfId="0" applyNumberFormat="1" applyFont="1" applyFill="1"/>
    <xf numFmtId="164" fontId="7" fillId="36" borderId="0" xfId="0" applyNumberFormat="1" applyFont="1" applyFill="1"/>
    <xf numFmtId="1" fontId="7" fillId="36" borderId="0" xfId="0" applyNumberFormat="1" applyFont="1" applyFill="1" applyAlignment="1">
      <alignment horizontal="center"/>
    </xf>
    <xf numFmtId="165" fontId="7" fillId="0" borderId="0" xfId="0" applyNumberFormat="1" applyFont="1"/>
    <xf numFmtId="1" fontId="71" fillId="36" borderId="0" xfId="0" applyNumberFormat="1" applyFont="1" applyFill="1" applyAlignment="1">
      <alignment horizontal="center"/>
    </xf>
    <xf numFmtId="164" fontId="71" fillId="0" borderId="0" xfId="0" applyNumberFormat="1" applyFont="1" applyFill="1"/>
    <xf numFmtId="164" fontId="71" fillId="36" borderId="0" xfId="0" applyNumberFormat="1" applyFont="1" applyFill="1"/>
    <xf numFmtId="0" fontId="39" fillId="0" borderId="0" xfId="0" applyFont="1"/>
    <xf numFmtId="0" fontId="8" fillId="0" borderId="0" xfId="0" applyFont="1" applyFill="1" applyBorder="1" applyAlignment="1">
      <alignment horizontal="left"/>
    </xf>
    <xf numFmtId="0" fontId="8" fillId="0" borderId="21" xfId="0" applyFont="1" applyBorder="1" applyAlignment="1">
      <alignment horizontal="center" wrapText="1"/>
    </xf>
    <xf numFmtId="3" fontId="8" fillId="0" borderId="20" xfId="136" applyNumberFormat="1" applyFont="1" applyBorder="1" applyAlignment="1" applyProtection="1">
      <alignment horizontal="center" wrapText="1"/>
    </xf>
    <xf numFmtId="3" fontId="8" fillId="0" borderId="21" xfId="136" applyNumberFormat="1" applyFont="1" applyBorder="1" applyAlignment="1" applyProtection="1">
      <alignment horizontal="center" wrapText="1"/>
    </xf>
    <xf numFmtId="182" fontId="0" fillId="0" borderId="0" xfId="0" applyNumberFormat="1" applyFill="1"/>
    <xf numFmtId="182" fontId="7" fillId="0" borderId="0" xfId="0" applyNumberFormat="1" applyFont="1" applyFill="1"/>
    <xf numFmtId="0" fontId="20" fillId="36" borderId="0" xfId="0" quotePrefix="1" applyFont="1" applyFill="1" applyBorder="1" applyAlignment="1">
      <alignment horizontal="left" indent="1"/>
    </xf>
    <xf numFmtId="0" fontId="20" fillId="36" borderId="0" xfId="0" applyFont="1" applyFill="1"/>
    <xf numFmtId="0" fontId="72" fillId="0" borderId="0" xfId="0" applyFont="1" applyFill="1" applyAlignment="1">
      <alignment horizontal="right"/>
    </xf>
    <xf numFmtId="0" fontId="8" fillId="0" borderId="20" xfId="0" applyFont="1" applyBorder="1" applyAlignment="1">
      <alignment horizontal="center"/>
    </xf>
    <xf numFmtId="0" fontId="8" fillId="0" borderId="20" xfId="0" applyFont="1" applyBorder="1" applyAlignment="1">
      <alignment horizontal="center" wrapText="1"/>
    </xf>
    <xf numFmtId="0" fontId="8" fillId="0" borderId="17" xfId="0" applyFont="1" applyBorder="1" applyAlignment="1">
      <alignment horizontal="center" wrapText="1"/>
    </xf>
    <xf numFmtId="0" fontId="8" fillId="0" borderId="17" xfId="0" applyFont="1" applyFill="1" applyBorder="1" applyAlignment="1">
      <alignment horizontal="center" wrapText="1"/>
    </xf>
    <xf numFmtId="0" fontId="8" fillId="0" borderId="18" xfId="0" applyFont="1" applyBorder="1" applyAlignment="1">
      <alignment horizontal="center" wrapText="1"/>
    </xf>
    <xf numFmtId="14" fontId="7" fillId="36" borderId="0" xfId="0" quotePrefix="1" applyNumberFormat="1" applyFont="1" applyFill="1" applyAlignment="1" applyProtection="1">
      <alignment horizontal="center" vertical="center"/>
    </xf>
    <xf numFmtId="168" fontId="7" fillId="36" borderId="0" xfId="37" applyNumberFormat="1" applyFont="1" applyFill="1" applyAlignment="1">
      <alignment horizontal="center"/>
    </xf>
    <xf numFmtId="5" fontId="7" fillId="36" borderId="0" xfId="0" applyNumberFormat="1" applyFont="1" applyFill="1" applyAlignment="1" applyProtection="1">
      <alignment horizontal="center"/>
    </xf>
    <xf numFmtId="183" fontId="0" fillId="0" borderId="0" xfId="0" applyNumberFormat="1"/>
    <xf numFmtId="14" fontId="7" fillId="36" borderId="0" xfId="0" applyNumberFormat="1" applyFont="1" applyFill="1" applyAlignment="1" applyProtection="1">
      <alignment horizontal="center" vertical="center"/>
    </xf>
    <xf numFmtId="5" fontId="7" fillId="36" borderId="0" xfId="0" applyNumberFormat="1" applyFont="1" applyFill="1" applyBorder="1" applyAlignment="1" applyProtection="1">
      <alignment horizontal="center"/>
    </xf>
    <xf numFmtId="0" fontId="7" fillId="36" borderId="0" xfId="0" applyFont="1" applyFill="1" applyBorder="1" applyAlignment="1">
      <alignment horizontal="left" indent="1"/>
    </xf>
    <xf numFmtId="14" fontId="7" fillId="36" borderId="0" xfId="0" applyNumberFormat="1" applyFont="1" applyFill="1" applyBorder="1" applyAlignment="1" applyProtection="1">
      <alignment horizontal="center" vertical="center"/>
    </xf>
    <xf numFmtId="168" fontId="7" fillId="36" borderId="0" xfId="37" applyNumberFormat="1" applyFont="1" applyFill="1" applyBorder="1" applyAlignment="1">
      <alignment horizontal="center"/>
    </xf>
    <xf numFmtId="164" fontId="8" fillId="0" borderId="20" xfId="0" applyNumberFormat="1" applyFont="1" applyBorder="1" applyAlignment="1">
      <alignment horizontal="center" wrapText="1"/>
    </xf>
    <xf numFmtId="164" fontId="8" fillId="0" borderId="21" xfId="0" applyNumberFormat="1" applyFont="1" applyBorder="1" applyAlignment="1">
      <alignment horizontal="center" wrapText="1"/>
    </xf>
    <xf numFmtId="164" fontId="0" fillId="36" borderId="0" xfId="0" applyNumberFormat="1" applyFill="1" applyAlignment="1">
      <alignment horizontal="center"/>
    </xf>
    <xf numFmtId="0" fontId="7" fillId="36" borderId="22" xfId="0" applyFont="1" applyFill="1" applyBorder="1" applyAlignment="1">
      <alignment horizontal="left" indent="1"/>
    </xf>
    <xf numFmtId="0" fontId="8" fillId="0" borderId="23" xfId="0" applyFont="1" applyBorder="1" applyAlignment="1">
      <alignment horizontal="center"/>
    </xf>
    <xf numFmtId="0" fontId="8" fillId="0" borderId="23" xfId="0" applyFont="1" applyBorder="1" applyAlignment="1">
      <alignment horizontal="center" wrapText="1"/>
    </xf>
    <xf numFmtId="10" fontId="7" fillId="36" borderId="0" xfId="37" applyNumberFormat="1" applyFont="1" applyFill="1" applyAlignment="1">
      <alignment horizontal="left" indent="1"/>
    </xf>
    <xf numFmtId="0" fontId="7" fillId="38" borderId="0" xfId="0" applyFont="1" applyFill="1"/>
    <xf numFmtId="0" fontId="7" fillId="0" borderId="7" xfId="126" applyBorder="1" applyAlignment="1">
      <alignment horizontal="center"/>
    </xf>
    <xf numFmtId="164" fontId="63" fillId="0" borderId="0" xfId="0" applyNumberFormat="1" applyFont="1" applyFill="1"/>
    <xf numFmtId="42" fontId="73" fillId="34" borderId="0" xfId="0" applyNumberFormat="1" applyFont="1" applyFill="1"/>
    <xf numFmtId="0" fontId="67" fillId="0" borderId="0" xfId="0" applyFont="1" applyAlignment="1">
      <alignment horizontal="center"/>
    </xf>
    <xf numFmtId="0" fontId="61" fillId="0" borderId="0" xfId="0" applyFont="1" applyFill="1"/>
    <xf numFmtId="0" fontId="73" fillId="0" borderId="0" xfId="0" applyFont="1" applyFill="1" applyAlignment="1">
      <alignment horizontal="left" indent="1"/>
    </xf>
    <xf numFmtId="0" fontId="61" fillId="0" borderId="0" xfId="0" applyFont="1"/>
    <xf numFmtId="42" fontId="73" fillId="36" borderId="0" xfId="0" quotePrefix="1" applyNumberFormat="1" applyFont="1" applyFill="1" applyAlignment="1">
      <alignment horizontal="center"/>
    </xf>
    <xf numFmtId="0" fontId="8" fillId="0" borderId="20" xfId="0" quotePrefix="1" applyFont="1" applyBorder="1" applyAlignment="1">
      <alignment horizontal="center"/>
    </xf>
    <xf numFmtId="0" fontId="7" fillId="0" borderId="18" xfId="0" applyFont="1" applyBorder="1" applyAlignment="1">
      <alignment horizontal="center"/>
    </xf>
    <xf numFmtId="180" fontId="8" fillId="0" borderId="20" xfId="136" applyFont="1" applyBorder="1" applyAlignment="1" applyProtection="1">
      <alignment horizontal="center" wrapText="1"/>
    </xf>
    <xf numFmtId="0" fontId="0" fillId="0" borderId="18" xfId="0" applyBorder="1" applyAlignment="1">
      <alignment horizontal="center" wrapText="1"/>
    </xf>
    <xf numFmtId="180" fontId="8" fillId="0" borderId="23" xfId="136" applyFont="1" applyBorder="1" applyAlignment="1" applyProtection="1">
      <alignment horizontal="center" wrapText="1"/>
    </xf>
    <xf numFmtId="0" fontId="0" fillId="0" borderId="24" xfId="0" applyBorder="1" applyAlignment="1">
      <alignment horizontal="center" wrapText="1"/>
    </xf>
    <xf numFmtId="0" fontId="7" fillId="36" borderId="0" xfId="0" applyNumberFormat="1" applyFont="1" applyFill="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3" xfId="28" applyFont="1" applyBorder="1" applyAlignment="1"/>
    <xf numFmtId="0" fontId="8" fillId="0" borderId="6" xfId="28" applyFont="1" applyBorder="1" applyAlignment="1">
      <alignment horizontal="center"/>
    </xf>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0" fillId="0" borderId="3" xfId="0" applyBorder="1" applyAlignment="1">
      <alignment wrapText="1"/>
    </xf>
    <xf numFmtId="0" fontId="8" fillId="0" borderId="6" xfId="0" applyFont="1" applyFill="1" applyBorder="1" applyAlignment="1"/>
    <xf numFmtId="0" fontId="0" fillId="0" borderId="9" xfId="0" applyBorder="1" applyAlignment="1"/>
    <xf numFmtId="0" fontId="0" fillId="0" borderId="4" xfId="0" applyBorder="1" applyAlignment="1"/>
    <xf numFmtId="0" fontId="8" fillId="0" borderId="6" xfId="0" applyNumberFormat="1" applyFont="1" applyFill="1"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0" fillId="0" borderId="6" xfId="0" applyFont="1" applyFill="1" applyBorder="1" applyAlignment="1">
      <alignment horizontal="left"/>
    </xf>
    <xf numFmtId="0" fontId="10" fillId="0" borderId="4" xfId="0" applyFont="1" applyBorder="1" applyAlignment="1">
      <alignment horizontal="left"/>
    </xf>
    <xf numFmtId="0" fontId="8"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7" fillId="0" borderId="0" xfId="0" applyFont="1" applyFill="1" applyBorder="1" applyAlignment="1">
      <alignment wrapText="1"/>
    </xf>
    <xf numFmtId="0" fontId="0" fillId="0" borderId="0" xfId="0" applyAlignment="1">
      <alignmen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cellXfs>
  <cellStyles count="138">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Debt Sept 94" xfId="136"/>
    <cellStyle name="Normal_Rate-Design" xfId="35"/>
    <cellStyle name="Normal_Review_only_Extract_Bond_Amortizations_from_Journal_Entry_Data" xfId="137"/>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571" t="s">
        <v>1893</v>
      </c>
    </row>
    <row r="6" spans="3:4" x14ac:dyDescent="0.25">
      <c r="D6" s="1"/>
    </row>
    <row r="7" spans="3:4" ht="21" x14ac:dyDescent="0.4">
      <c r="D7" s="572" t="s">
        <v>1894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3"/>
  <sheetViews>
    <sheetView zoomScaleNormal="100" workbookViewId="0"/>
  </sheetViews>
  <sheetFormatPr defaultRowHeight="13.2" x14ac:dyDescent="0.25"/>
  <cols>
    <col min="1" max="1" width="5.77734375" customWidth="1"/>
    <col min="2" max="2" width="27.77734375" customWidth="1"/>
    <col min="3" max="4" width="12.77734375" customWidth="1"/>
    <col min="5" max="6" width="14.77734375" customWidth="1"/>
    <col min="7" max="7" width="7.77734375" customWidth="1"/>
    <col min="8" max="8" width="10.77734375" customWidth="1"/>
    <col min="9" max="9" width="13.77734375" customWidth="1"/>
    <col min="10" max="10" width="7.77734375" customWidth="1"/>
    <col min="11" max="11" width="18.88671875" customWidth="1"/>
    <col min="12" max="12" width="13.77734375" customWidth="1"/>
    <col min="14" max="14" width="20.77734375" customWidth="1"/>
  </cols>
  <sheetData>
    <row r="1" spans="1:13" x14ac:dyDescent="0.25">
      <c r="A1" s="1" t="s">
        <v>257</v>
      </c>
    </row>
    <row r="2" spans="1:13" x14ac:dyDescent="0.25">
      <c r="B2" s="441" t="s">
        <v>2524</v>
      </c>
      <c r="C2" s="352"/>
      <c r="E2" s="1100"/>
    </row>
    <row r="3" spans="1:13" x14ac:dyDescent="0.25">
      <c r="B3" s="1101"/>
      <c r="M3" s="1102"/>
    </row>
    <row r="4" spans="1:13" x14ac:dyDescent="0.25">
      <c r="B4" s="1" t="s">
        <v>2525</v>
      </c>
      <c r="M4" s="1102"/>
    </row>
    <row r="5" spans="1:13" x14ac:dyDescent="0.25">
      <c r="A5" s="44" t="s">
        <v>332</v>
      </c>
      <c r="E5" s="3" t="s">
        <v>176</v>
      </c>
      <c r="F5" s="3" t="s">
        <v>206</v>
      </c>
    </row>
    <row r="6" spans="1:13" ht="13.2" customHeight="1" x14ac:dyDescent="0.25">
      <c r="A6" s="1103">
        <v>1</v>
      </c>
      <c r="D6" s="441" t="s">
        <v>2526</v>
      </c>
      <c r="E6" s="924">
        <v>0</v>
      </c>
      <c r="F6" s="15" t="str">
        <f>"Line "&amp;A66&amp;", Col 10"</f>
        <v>Line 200, Col 10</v>
      </c>
    </row>
    <row r="7" spans="1:13" ht="13.2" customHeight="1" x14ac:dyDescent="0.4">
      <c r="A7" s="1103">
        <f>A6+1</f>
        <v>2</v>
      </c>
      <c r="D7" s="441" t="s">
        <v>2527</v>
      </c>
      <c r="E7" s="925">
        <v>0</v>
      </c>
      <c r="F7" s="15" t="str">
        <f>"Line "&amp;A187&amp;", Col 3"</f>
        <v>Line 500, Col 3</v>
      </c>
    </row>
    <row r="8" spans="1:13" ht="13.2" customHeight="1" x14ac:dyDescent="0.25">
      <c r="A8" s="1103">
        <f t="shared" ref="A8:A15" si="0">A7+1</f>
        <v>3</v>
      </c>
      <c r="D8" s="441" t="s">
        <v>2528</v>
      </c>
      <c r="E8" s="924">
        <v>0</v>
      </c>
      <c r="F8" s="537" t="s">
        <v>2529</v>
      </c>
    </row>
    <row r="9" spans="1:13" ht="13.2" customHeight="1" x14ac:dyDescent="0.25">
      <c r="A9" s="1103">
        <f t="shared" si="0"/>
        <v>4</v>
      </c>
      <c r="F9" s="58"/>
    </row>
    <row r="10" spans="1:13" ht="13.2" customHeight="1" x14ac:dyDescent="0.25">
      <c r="A10" s="1103">
        <f t="shared" si="0"/>
        <v>5</v>
      </c>
      <c r="D10" s="441" t="s">
        <v>2530</v>
      </c>
      <c r="E10" s="924">
        <v>0</v>
      </c>
      <c r="F10" s="15" t="str">
        <f>"Line "&amp;A66&amp;", Col 5"</f>
        <v>Line 200, Col 5</v>
      </c>
    </row>
    <row r="11" spans="1:13" ht="13.2" customHeight="1" x14ac:dyDescent="0.25">
      <c r="A11" s="1103">
        <f t="shared" si="0"/>
        <v>6</v>
      </c>
      <c r="C11" s="443"/>
      <c r="D11" s="441" t="s">
        <v>2531</v>
      </c>
      <c r="E11" s="924">
        <v>0</v>
      </c>
      <c r="F11" s="15" t="str">
        <f>"Line "&amp;A77&amp;", Col 5"</f>
        <v>Line 205, Col 5</v>
      </c>
    </row>
    <row r="12" spans="1:13" ht="13.2" customHeight="1" x14ac:dyDescent="0.4">
      <c r="A12" s="1103">
        <f t="shared" si="0"/>
        <v>7</v>
      </c>
      <c r="D12" s="441" t="s">
        <v>2532</v>
      </c>
      <c r="E12" s="925">
        <v>0</v>
      </c>
      <c r="F12" s="15" t="str">
        <f>"Line "&amp;A187&amp;", Col 2"</f>
        <v>Line 500, Col 2</v>
      </c>
    </row>
    <row r="13" spans="1:13" ht="13.2" customHeight="1" x14ac:dyDescent="0.25">
      <c r="A13" s="1103">
        <f t="shared" si="0"/>
        <v>8</v>
      </c>
      <c r="D13" s="441" t="s">
        <v>2533</v>
      </c>
      <c r="E13" s="924">
        <v>0</v>
      </c>
      <c r="F13" s="537" t="s">
        <v>2534</v>
      </c>
    </row>
    <row r="14" spans="1:13" ht="13.2" customHeight="1" x14ac:dyDescent="0.25">
      <c r="A14" s="1103">
        <f t="shared" si="0"/>
        <v>9</v>
      </c>
      <c r="F14" s="58"/>
    </row>
    <row r="15" spans="1:13" ht="13.2" customHeight="1" x14ac:dyDescent="0.25">
      <c r="A15" s="1103">
        <f t="shared" si="0"/>
        <v>10</v>
      </c>
      <c r="D15" s="441" t="s">
        <v>2535</v>
      </c>
      <c r="E15" s="926" t="s">
        <v>2193</v>
      </c>
      <c r="F15" s="537" t="s">
        <v>2536</v>
      </c>
    </row>
    <row r="17" spans="1:15" x14ac:dyDescent="0.25">
      <c r="B17" s="1" t="s">
        <v>2537</v>
      </c>
    </row>
    <row r="18" spans="1:15" x14ac:dyDescent="0.25">
      <c r="B18" s="76" t="s">
        <v>363</v>
      </c>
      <c r="C18" s="76" t="s">
        <v>347</v>
      </c>
      <c r="D18" s="76" t="s">
        <v>348</v>
      </c>
      <c r="E18" s="76" t="s">
        <v>349</v>
      </c>
      <c r="F18" s="76" t="s">
        <v>350</v>
      </c>
      <c r="G18" s="76" t="s">
        <v>351</v>
      </c>
      <c r="H18" s="76" t="s">
        <v>352</v>
      </c>
      <c r="I18" s="76" t="s">
        <v>541</v>
      </c>
      <c r="J18" s="76" t="s">
        <v>955</v>
      </c>
      <c r="K18" s="76" t="s">
        <v>967</v>
      </c>
      <c r="L18" s="76"/>
    </row>
    <row r="19" spans="1:15" x14ac:dyDescent="0.25">
      <c r="B19" s="94" t="s">
        <v>2538</v>
      </c>
      <c r="C19" s="94" t="s">
        <v>2539</v>
      </c>
      <c r="D19" s="94" t="s">
        <v>2540</v>
      </c>
      <c r="E19" s="94" t="s">
        <v>2538</v>
      </c>
      <c r="F19" s="94" t="s">
        <v>2541</v>
      </c>
      <c r="G19" s="94" t="s">
        <v>364</v>
      </c>
      <c r="H19" s="94" t="s">
        <v>2542</v>
      </c>
      <c r="I19" s="863" t="s">
        <v>2543</v>
      </c>
      <c r="J19" s="94" t="s">
        <v>365</v>
      </c>
      <c r="K19" s="863" t="s">
        <v>2544</v>
      </c>
    </row>
    <row r="20" spans="1:15" ht="13.8" thickBot="1" x14ac:dyDescent="0.3"/>
    <row r="21" spans="1:15" ht="67.05" customHeight="1" thickBot="1" x14ac:dyDescent="0.3">
      <c r="A21" s="44" t="s">
        <v>332</v>
      </c>
      <c r="B21" s="1104" t="s">
        <v>2545</v>
      </c>
      <c r="C21" s="1105" t="s">
        <v>2546</v>
      </c>
      <c r="D21" s="1105" t="s">
        <v>2547</v>
      </c>
      <c r="E21" s="1106" t="s">
        <v>2548</v>
      </c>
      <c r="F21" s="1107" t="s">
        <v>2549</v>
      </c>
      <c r="G21" s="1108" t="s">
        <v>2550</v>
      </c>
      <c r="H21" s="1109" t="s">
        <v>2551</v>
      </c>
      <c r="I21" s="1110" t="s">
        <v>2552</v>
      </c>
      <c r="J21" s="1111" t="s">
        <v>2553</v>
      </c>
      <c r="K21" s="1107" t="s">
        <v>2554</v>
      </c>
      <c r="L21" s="1112" t="s">
        <v>2555</v>
      </c>
    </row>
    <row r="22" spans="1:15" x14ac:dyDescent="0.25">
      <c r="A22" s="1103">
        <v>101</v>
      </c>
      <c r="B22" s="1113"/>
      <c r="C22" s="1114"/>
      <c r="D22" s="1114"/>
      <c r="E22" s="1115"/>
      <c r="F22" s="92"/>
      <c r="G22" s="926" t="s">
        <v>77</v>
      </c>
      <c r="H22" s="924">
        <v>0</v>
      </c>
      <c r="I22" s="924">
        <v>0</v>
      </c>
      <c r="J22" s="926" t="s">
        <v>2193</v>
      </c>
      <c r="K22" s="924">
        <v>0</v>
      </c>
      <c r="L22" s="1116"/>
      <c r="M22" s="7"/>
      <c r="O22" s="1117"/>
    </row>
    <row r="23" spans="1:15" x14ac:dyDescent="0.25">
      <c r="A23" s="1103">
        <f>A22+1</f>
        <v>102</v>
      </c>
      <c r="B23" s="1118"/>
      <c r="C23" s="1114"/>
      <c r="D23" s="1114"/>
      <c r="E23" s="1115"/>
      <c r="F23" s="92"/>
      <c r="G23" s="926" t="s">
        <v>77</v>
      </c>
      <c r="H23" s="924">
        <v>0</v>
      </c>
      <c r="I23" s="924">
        <v>0</v>
      </c>
      <c r="J23" s="926" t="s">
        <v>2193</v>
      </c>
      <c r="K23" s="924">
        <v>0</v>
      </c>
      <c r="L23" s="1116"/>
      <c r="M23" s="7"/>
      <c r="N23" s="443"/>
      <c r="O23" s="1117"/>
    </row>
    <row r="24" spans="1:15" x14ac:dyDescent="0.25">
      <c r="A24" s="1103">
        <f t="shared" ref="A24:A54" si="1">A23+1</f>
        <v>103</v>
      </c>
      <c r="B24" s="1118"/>
      <c r="C24" s="1114"/>
      <c r="D24" s="1114"/>
      <c r="E24" s="1115"/>
      <c r="F24" s="92"/>
      <c r="G24" s="926" t="s">
        <v>77</v>
      </c>
      <c r="H24" s="924">
        <v>0</v>
      </c>
      <c r="I24" s="924">
        <v>0</v>
      </c>
      <c r="J24" s="926" t="s">
        <v>2193</v>
      </c>
      <c r="K24" s="924">
        <v>0</v>
      </c>
      <c r="L24" s="1116"/>
      <c r="M24" s="7"/>
      <c r="O24" s="1117"/>
    </row>
    <row r="25" spans="1:15" x14ac:dyDescent="0.25">
      <c r="A25" s="1103">
        <f t="shared" si="1"/>
        <v>104</v>
      </c>
      <c r="B25" s="1118"/>
      <c r="C25" s="1114"/>
      <c r="D25" s="1114"/>
      <c r="E25" s="1115"/>
      <c r="F25" s="92"/>
      <c r="G25" s="926" t="s">
        <v>77</v>
      </c>
      <c r="H25" s="924">
        <v>0</v>
      </c>
      <c r="I25" s="924">
        <v>0</v>
      </c>
      <c r="J25" s="926" t="s">
        <v>2193</v>
      </c>
      <c r="K25" s="924">
        <v>0</v>
      </c>
      <c r="L25" s="1116"/>
      <c r="M25" s="7"/>
      <c r="O25" s="1117"/>
    </row>
    <row r="26" spans="1:15" x14ac:dyDescent="0.25">
      <c r="A26" s="1103">
        <f t="shared" si="1"/>
        <v>105</v>
      </c>
      <c r="B26" s="1118"/>
      <c r="C26" s="1114"/>
      <c r="D26" s="1114"/>
      <c r="E26" s="1115"/>
      <c r="F26" s="92"/>
      <c r="G26" s="926" t="s">
        <v>77</v>
      </c>
      <c r="H26" s="924">
        <v>0</v>
      </c>
      <c r="I26" s="924">
        <v>0</v>
      </c>
      <c r="J26" s="926" t="s">
        <v>2193</v>
      </c>
      <c r="K26" s="924">
        <v>0</v>
      </c>
      <c r="L26" s="1116"/>
      <c r="M26" s="7"/>
      <c r="O26" s="1117"/>
    </row>
    <row r="27" spans="1:15" x14ac:dyDescent="0.25">
      <c r="A27" s="1103">
        <f t="shared" si="1"/>
        <v>106</v>
      </c>
      <c r="B27" s="1118"/>
      <c r="C27" s="1114"/>
      <c r="D27" s="1114"/>
      <c r="E27" s="1115"/>
      <c r="F27" s="92"/>
      <c r="G27" s="926" t="s">
        <v>77</v>
      </c>
      <c r="H27" s="924">
        <v>0</v>
      </c>
      <c r="I27" s="924">
        <v>0</v>
      </c>
      <c r="J27" s="926" t="s">
        <v>2193</v>
      </c>
      <c r="K27" s="924">
        <v>0</v>
      </c>
      <c r="L27" s="1116"/>
      <c r="M27" s="7"/>
      <c r="O27" s="1117"/>
    </row>
    <row r="28" spans="1:15" x14ac:dyDescent="0.25">
      <c r="A28" s="1103">
        <f t="shared" si="1"/>
        <v>107</v>
      </c>
      <c r="B28" s="1118"/>
      <c r="C28" s="1114"/>
      <c r="D28" s="1114"/>
      <c r="E28" s="1115"/>
      <c r="F28" s="92"/>
      <c r="G28" s="926" t="s">
        <v>77</v>
      </c>
      <c r="H28" s="924">
        <v>0</v>
      </c>
      <c r="I28" s="924">
        <v>0</v>
      </c>
      <c r="J28" s="926" t="s">
        <v>2193</v>
      </c>
      <c r="K28" s="924">
        <v>0</v>
      </c>
      <c r="L28" s="1116"/>
      <c r="M28" s="7"/>
      <c r="O28" s="1117"/>
    </row>
    <row r="29" spans="1:15" x14ac:dyDescent="0.25">
      <c r="A29" s="1103">
        <f t="shared" si="1"/>
        <v>108</v>
      </c>
      <c r="B29" s="1118"/>
      <c r="C29" s="1114"/>
      <c r="D29" s="1114"/>
      <c r="E29" s="1115"/>
      <c r="F29" s="92"/>
      <c r="G29" s="926" t="s">
        <v>77</v>
      </c>
      <c r="H29" s="924">
        <v>0</v>
      </c>
      <c r="I29" s="924">
        <v>0</v>
      </c>
      <c r="J29" s="926" t="s">
        <v>2193</v>
      </c>
      <c r="K29" s="924">
        <v>0</v>
      </c>
      <c r="L29" s="1116"/>
      <c r="M29" s="7"/>
      <c r="O29" s="1117"/>
    </row>
    <row r="30" spans="1:15" x14ac:dyDescent="0.25">
      <c r="A30" s="1103">
        <f t="shared" si="1"/>
        <v>109</v>
      </c>
      <c r="B30" s="1119"/>
      <c r="C30" s="1114"/>
      <c r="D30" s="1114"/>
      <c r="E30" s="1115"/>
      <c r="F30" s="92"/>
      <c r="G30" s="926" t="s">
        <v>77</v>
      </c>
      <c r="H30" s="924">
        <v>0</v>
      </c>
      <c r="I30" s="924">
        <v>0</v>
      </c>
      <c r="J30" s="926" t="s">
        <v>2193</v>
      </c>
      <c r="K30" s="924">
        <v>0</v>
      </c>
      <c r="L30" s="1116"/>
      <c r="M30" s="7"/>
      <c r="O30" s="1117"/>
    </row>
    <row r="31" spans="1:15" x14ac:dyDescent="0.25">
      <c r="A31" s="1103">
        <f t="shared" si="1"/>
        <v>110</v>
      </c>
      <c r="B31" s="1120"/>
      <c r="C31" s="1114"/>
      <c r="D31" s="1114"/>
      <c r="E31" s="1115"/>
      <c r="F31" s="92"/>
      <c r="G31" s="926" t="s">
        <v>77</v>
      </c>
      <c r="H31" s="924">
        <v>0</v>
      </c>
      <c r="I31" s="924">
        <v>0</v>
      </c>
      <c r="J31" s="926" t="s">
        <v>2193</v>
      </c>
      <c r="K31" s="924">
        <v>0</v>
      </c>
      <c r="L31" s="1116"/>
      <c r="M31" s="7"/>
      <c r="O31" s="1117"/>
    </row>
    <row r="32" spans="1:15" x14ac:dyDescent="0.25">
      <c r="A32" s="1103">
        <f t="shared" si="1"/>
        <v>111</v>
      </c>
      <c r="B32" s="1118"/>
      <c r="C32" s="1114"/>
      <c r="D32" s="1114"/>
      <c r="E32" s="1115"/>
      <c r="F32" s="92"/>
      <c r="G32" s="926" t="s">
        <v>77</v>
      </c>
      <c r="H32" s="924">
        <v>0</v>
      </c>
      <c r="I32" s="924">
        <v>0</v>
      </c>
      <c r="J32" s="926" t="s">
        <v>2193</v>
      </c>
      <c r="K32" s="924">
        <v>0</v>
      </c>
      <c r="L32" s="1116"/>
      <c r="M32" s="7"/>
      <c r="O32" s="1117"/>
    </row>
    <row r="33" spans="1:15" x14ac:dyDescent="0.25">
      <c r="A33" s="1103">
        <f t="shared" si="1"/>
        <v>112</v>
      </c>
      <c r="B33" s="1118"/>
      <c r="C33" s="1114"/>
      <c r="D33" s="1114"/>
      <c r="E33" s="1115"/>
      <c r="F33" s="92"/>
      <c r="G33" s="926" t="s">
        <v>77</v>
      </c>
      <c r="H33" s="924">
        <v>0</v>
      </c>
      <c r="I33" s="924">
        <v>0</v>
      </c>
      <c r="J33" s="926" t="s">
        <v>2193</v>
      </c>
      <c r="K33" s="924">
        <v>0</v>
      </c>
      <c r="L33" s="1116"/>
      <c r="M33" s="7"/>
      <c r="O33" s="1117"/>
    </row>
    <row r="34" spans="1:15" ht="13.2" customHeight="1" x14ac:dyDescent="0.25">
      <c r="A34" s="1103">
        <f t="shared" si="1"/>
        <v>113</v>
      </c>
      <c r="B34" s="1119"/>
      <c r="C34" s="1114"/>
      <c r="D34" s="1114"/>
      <c r="E34" s="1115"/>
      <c r="F34" s="92"/>
      <c r="G34" s="926" t="s">
        <v>77</v>
      </c>
      <c r="H34" s="924">
        <v>0</v>
      </c>
      <c r="I34" s="924">
        <v>0</v>
      </c>
      <c r="J34" s="926" t="s">
        <v>2193</v>
      </c>
      <c r="K34" s="924">
        <v>0</v>
      </c>
      <c r="L34" s="1116"/>
      <c r="M34" s="7"/>
      <c r="O34" s="1117"/>
    </row>
    <row r="35" spans="1:15" x14ac:dyDescent="0.25">
      <c r="A35" s="1103">
        <f t="shared" si="1"/>
        <v>114</v>
      </c>
      <c r="B35" s="1119"/>
      <c r="C35" s="1114"/>
      <c r="D35" s="1114"/>
      <c r="E35" s="1115"/>
      <c r="F35" s="92"/>
      <c r="G35" s="926" t="s">
        <v>77</v>
      </c>
      <c r="H35" s="924">
        <v>0</v>
      </c>
      <c r="I35" s="924">
        <v>0</v>
      </c>
      <c r="J35" s="926" t="s">
        <v>2193</v>
      </c>
      <c r="K35" s="924">
        <v>0</v>
      </c>
      <c r="L35" s="1116"/>
      <c r="M35" s="7"/>
      <c r="O35" s="1117"/>
    </row>
    <row r="36" spans="1:15" x14ac:dyDescent="0.25">
      <c r="A36" s="1103">
        <f t="shared" si="1"/>
        <v>115</v>
      </c>
      <c r="B36" s="1119"/>
      <c r="C36" s="1114"/>
      <c r="D36" s="1114"/>
      <c r="E36" s="1115"/>
      <c r="F36" s="92"/>
      <c r="G36" s="926" t="s">
        <v>77</v>
      </c>
      <c r="H36" s="924">
        <v>0</v>
      </c>
      <c r="I36" s="924">
        <v>0</v>
      </c>
      <c r="J36" s="926" t="s">
        <v>2193</v>
      </c>
      <c r="K36" s="924">
        <v>0</v>
      </c>
      <c r="L36" s="1116"/>
      <c r="M36" s="7"/>
      <c r="O36" s="1117"/>
    </row>
    <row r="37" spans="1:15" x14ac:dyDescent="0.25">
      <c r="A37" s="1103">
        <f t="shared" si="1"/>
        <v>116</v>
      </c>
      <c r="B37" s="1119"/>
      <c r="C37" s="1114"/>
      <c r="D37" s="1114"/>
      <c r="E37" s="1115"/>
      <c r="F37" s="92"/>
      <c r="G37" s="926" t="s">
        <v>77</v>
      </c>
      <c r="H37" s="924">
        <v>0</v>
      </c>
      <c r="I37" s="924">
        <v>0</v>
      </c>
      <c r="J37" s="926" t="s">
        <v>2193</v>
      </c>
      <c r="K37" s="924">
        <v>0</v>
      </c>
      <c r="L37" s="1116"/>
      <c r="M37" s="7"/>
      <c r="O37" s="1117"/>
    </row>
    <row r="38" spans="1:15" x14ac:dyDescent="0.25">
      <c r="A38" s="1103">
        <f t="shared" si="1"/>
        <v>117</v>
      </c>
      <c r="B38" s="1119"/>
      <c r="C38" s="1114"/>
      <c r="D38" s="1114"/>
      <c r="E38" s="1115"/>
      <c r="F38" s="92"/>
      <c r="G38" s="926" t="s">
        <v>77</v>
      </c>
      <c r="H38" s="924">
        <v>0</v>
      </c>
      <c r="I38" s="924">
        <v>0</v>
      </c>
      <c r="J38" s="926" t="s">
        <v>2193</v>
      </c>
      <c r="K38" s="924">
        <v>0</v>
      </c>
      <c r="L38" s="1116"/>
      <c r="M38" s="7"/>
      <c r="O38" s="1117"/>
    </row>
    <row r="39" spans="1:15" x14ac:dyDescent="0.25">
      <c r="A39" s="1103">
        <f t="shared" si="1"/>
        <v>118</v>
      </c>
      <c r="B39" s="1119"/>
      <c r="C39" s="1114"/>
      <c r="D39" s="1114"/>
      <c r="E39" s="1115"/>
      <c r="F39" s="92"/>
      <c r="G39" s="926" t="s">
        <v>77</v>
      </c>
      <c r="H39" s="924">
        <v>0</v>
      </c>
      <c r="I39" s="924">
        <v>0</v>
      </c>
      <c r="J39" s="926" t="s">
        <v>2193</v>
      </c>
      <c r="K39" s="924">
        <v>0</v>
      </c>
      <c r="L39" s="1116"/>
      <c r="M39" s="7"/>
      <c r="O39" s="1117"/>
    </row>
    <row r="40" spans="1:15" x14ac:dyDescent="0.25">
      <c r="A40" s="1103">
        <f t="shared" si="1"/>
        <v>119</v>
      </c>
      <c r="B40" s="1119"/>
      <c r="C40" s="1114"/>
      <c r="D40" s="1114"/>
      <c r="E40" s="1115"/>
      <c r="F40" s="92"/>
      <c r="G40" s="926" t="s">
        <v>77</v>
      </c>
      <c r="H40" s="924">
        <v>0</v>
      </c>
      <c r="I40" s="924">
        <v>0</v>
      </c>
      <c r="J40" s="926" t="s">
        <v>2193</v>
      </c>
      <c r="K40" s="924">
        <v>0</v>
      </c>
      <c r="L40" s="1116"/>
      <c r="M40" s="7"/>
      <c r="O40" s="1117"/>
    </row>
    <row r="41" spans="1:15" x14ac:dyDescent="0.25">
      <c r="A41" s="1103">
        <f t="shared" si="1"/>
        <v>120</v>
      </c>
      <c r="B41" s="1119"/>
      <c r="C41" s="1114"/>
      <c r="D41" s="1114"/>
      <c r="E41" s="1115"/>
      <c r="F41" s="92"/>
      <c r="G41" s="926" t="s">
        <v>77</v>
      </c>
      <c r="H41" s="924">
        <v>0</v>
      </c>
      <c r="I41" s="924">
        <v>0</v>
      </c>
      <c r="J41" s="926" t="s">
        <v>2193</v>
      </c>
      <c r="K41" s="924">
        <v>0</v>
      </c>
      <c r="L41" s="1116"/>
      <c r="M41" s="7"/>
      <c r="O41" s="1117"/>
    </row>
    <row r="42" spans="1:15" x14ac:dyDescent="0.25">
      <c r="A42" s="1103">
        <f t="shared" si="1"/>
        <v>121</v>
      </c>
      <c r="B42" s="1119"/>
      <c r="C42" s="1114"/>
      <c r="D42" s="1114"/>
      <c r="E42" s="1115"/>
      <c r="F42" s="92"/>
      <c r="G42" s="926" t="s">
        <v>77</v>
      </c>
      <c r="H42" s="924">
        <v>0</v>
      </c>
      <c r="I42" s="924">
        <v>0</v>
      </c>
      <c r="J42" s="926" t="s">
        <v>2193</v>
      </c>
      <c r="K42" s="924">
        <v>0</v>
      </c>
      <c r="L42" s="1116"/>
      <c r="M42" s="7"/>
      <c r="O42" s="1117"/>
    </row>
    <row r="43" spans="1:15" x14ac:dyDescent="0.25">
      <c r="A43" s="1103">
        <f t="shared" si="1"/>
        <v>122</v>
      </c>
      <c r="B43" s="1119"/>
      <c r="C43" s="1114"/>
      <c r="D43" s="1114"/>
      <c r="E43" s="1115"/>
      <c r="F43" s="92"/>
      <c r="G43" s="926" t="s">
        <v>77</v>
      </c>
      <c r="H43" s="924">
        <v>0</v>
      </c>
      <c r="I43" s="924">
        <v>0</v>
      </c>
      <c r="J43" s="926" t="s">
        <v>2193</v>
      </c>
      <c r="K43" s="924">
        <v>0</v>
      </c>
      <c r="L43" s="1116"/>
      <c r="M43" s="7"/>
      <c r="O43" s="1117"/>
    </row>
    <row r="44" spans="1:15" x14ac:dyDescent="0.25">
      <c r="A44" s="1103">
        <f t="shared" si="1"/>
        <v>123</v>
      </c>
      <c r="B44" s="1119"/>
      <c r="C44" s="1114"/>
      <c r="D44" s="1114"/>
      <c r="E44" s="1115"/>
      <c r="F44" s="92"/>
      <c r="G44" s="926" t="s">
        <v>77</v>
      </c>
      <c r="H44" s="924">
        <v>0</v>
      </c>
      <c r="I44" s="924">
        <v>0</v>
      </c>
      <c r="J44" s="926" t="s">
        <v>2193</v>
      </c>
      <c r="K44" s="924">
        <v>0</v>
      </c>
      <c r="L44" s="1116"/>
      <c r="M44" s="7"/>
      <c r="O44" s="1117"/>
    </row>
    <row r="45" spans="1:15" s="443" customFormat="1" x14ac:dyDescent="0.25">
      <c r="A45" s="1103">
        <f t="shared" si="1"/>
        <v>124</v>
      </c>
      <c r="B45" s="1119"/>
      <c r="C45" s="1121"/>
      <c r="D45" s="1121"/>
      <c r="E45" s="1122"/>
      <c r="F45" s="1123"/>
      <c r="G45" s="926" t="s">
        <v>77</v>
      </c>
      <c r="H45" s="924">
        <v>0</v>
      </c>
      <c r="I45" s="924">
        <v>0</v>
      </c>
      <c r="J45" s="926" t="s">
        <v>2193</v>
      </c>
      <c r="K45" s="924">
        <v>0</v>
      </c>
      <c r="L45" s="1124"/>
      <c r="M45" s="1125"/>
      <c r="O45" s="1117"/>
    </row>
    <row r="46" spans="1:15" s="443" customFormat="1" x14ac:dyDescent="0.25">
      <c r="A46" s="1103">
        <f t="shared" si="1"/>
        <v>125</v>
      </c>
      <c r="B46" s="1119"/>
      <c r="C46" s="1121"/>
      <c r="D46" s="1121"/>
      <c r="E46" s="1122"/>
      <c r="F46" s="1123"/>
      <c r="G46" s="926" t="s">
        <v>77</v>
      </c>
      <c r="H46" s="924">
        <v>0</v>
      </c>
      <c r="I46" s="924">
        <v>0</v>
      </c>
      <c r="J46" s="926" t="s">
        <v>2193</v>
      </c>
      <c r="K46" s="924">
        <v>0</v>
      </c>
      <c r="L46" s="1124"/>
      <c r="M46" s="1125"/>
      <c r="O46" s="1117"/>
    </row>
    <row r="47" spans="1:15" x14ac:dyDescent="0.25">
      <c r="A47" s="1103">
        <f t="shared" si="1"/>
        <v>126</v>
      </c>
      <c r="B47" s="1119"/>
      <c r="C47" s="1114"/>
      <c r="D47" s="1114"/>
      <c r="E47" s="1115"/>
      <c r="F47" s="92"/>
      <c r="G47" s="926" t="s">
        <v>77</v>
      </c>
      <c r="H47" s="924">
        <v>0</v>
      </c>
      <c r="I47" s="924">
        <v>0</v>
      </c>
      <c r="J47" s="926" t="s">
        <v>2193</v>
      </c>
      <c r="K47" s="924">
        <v>0</v>
      </c>
      <c r="L47" s="1116"/>
      <c r="M47" s="7"/>
      <c r="O47" s="1117"/>
    </row>
    <row r="48" spans="1:15" x14ac:dyDescent="0.25">
      <c r="A48" s="1103">
        <f t="shared" si="1"/>
        <v>127</v>
      </c>
      <c r="B48" s="1119"/>
      <c r="C48" s="1114"/>
      <c r="D48" s="1114"/>
      <c r="E48" s="1115"/>
      <c r="F48" s="92"/>
      <c r="G48" s="926" t="s">
        <v>77</v>
      </c>
      <c r="H48" s="924">
        <v>0</v>
      </c>
      <c r="I48" s="924">
        <v>0</v>
      </c>
      <c r="J48" s="926" t="s">
        <v>2193</v>
      </c>
      <c r="K48" s="924">
        <v>0</v>
      </c>
      <c r="L48" s="1116"/>
      <c r="M48" s="7"/>
      <c r="O48" s="1117"/>
    </row>
    <row r="49" spans="1:15" x14ac:dyDescent="0.25">
      <c r="A49" s="1103">
        <f t="shared" si="1"/>
        <v>128</v>
      </c>
      <c r="B49" s="1119"/>
      <c r="C49" s="1114"/>
      <c r="D49" s="1114"/>
      <c r="E49" s="1115"/>
      <c r="F49" s="92"/>
      <c r="G49" s="926" t="s">
        <v>77</v>
      </c>
      <c r="H49" s="924">
        <v>0</v>
      </c>
      <c r="I49" s="924">
        <v>0</v>
      </c>
      <c r="J49" s="926" t="s">
        <v>2193</v>
      </c>
      <c r="K49" s="924">
        <v>0</v>
      </c>
      <c r="L49" s="1116"/>
      <c r="M49" s="7"/>
      <c r="O49" s="1117"/>
    </row>
    <row r="50" spans="1:15" x14ac:dyDescent="0.25">
      <c r="A50" s="1103">
        <f t="shared" si="1"/>
        <v>129</v>
      </c>
      <c r="B50" s="1119"/>
      <c r="C50" s="1114"/>
      <c r="D50" s="1114"/>
      <c r="E50" s="1115"/>
      <c r="F50" s="92"/>
      <c r="G50" s="926" t="s">
        <v>77</v>
      </c>
      <c r="H50" s="924">
        <v>0</v>
      </c>
      <c r="I50" s="924">
        <v>0</v>
      </c>
      <c r="J50" s="926" t="s">
        <v>2193</v>
      </c>
      <c r="K50" s="924">
        <v>0</v>
      </c>
      <c r="L50" s="1116"/>
      <c r="M50" s="7"/>
      <c r="O50" s="1117"/>
    </row>
    <row r="51" spans="1:15" x14ac:dyDescent="0.25">
      <c r="A51" s="1103">
        <f t="shared" si="1"/>
        <v>130</v>
      </c>
      <c r="B51" s="1119"/>
      <c r="C51" s="1114"/>
      <c r="D51" s="1114"/>
      <c r="E51" s="1115"/>
      <c r="F51" s="92"/>
      <c r="G51" s="926" t="s">
        <v>77</v>
      </c>
      <c r="H51" s="924">
        <v>0</v>
      </c>
      <c r="I51" s="924">
        <v>0</v>
      </c>
      <c r="J51" s="926" t="s">
        <v>2193</v>
      </c>
      <c r="K51" s="924">
        <v>0</v>
      </c>
      <c r="L51" s="1116"/>
      <c r="M51" s="7"/>
      <c r="O51" s="1117"/>
    </row>
    <row r="52" spans="1:15" x14ac:dyDescent="0.25">
      <c r="A52" s="1103">
        <f t="shared" si="1"/>
        <v>131</v>
      </c>
      <c r="B52" s="1119"/>
      <c r="C52" s="1121"/>
      <c r="D52" s="1121"/>
      <c r="E52" s="1122"/>
      <c r="F52" s="1123"/>
      <c r="G52" s="926" t="s">
        <v>77</v>
      </c>
      <c r="H52" s="924">
        <v>0</v>
      </c>
      <c r="I52" s="924">
        <v>0</v>
      </c>
      <c r="J52" s="926" t="s">
        <v>2193</v>
      </c>
      <c r="K52" s="924">
        <v>0</v>
      </c>
      <c r="L52" s="1124"/>
      <c r="M52" s="7"/>
      <c r="O52" s="1117"/>
    </row>
    <row r="53" spans="1:15" x14ac:dyDescent="0.25">
      <c r="A53" s="1103">
        <f t="shared" si="1"/>
        <v>132</v>
      </c>
      <c r="B53" s="1119"/>
      <c r="C53" s="1121"/>
      <c r="D53" s="1121"/>
      <c r="E53" s="1122"/>
      <c r="F53" s="1123"/>
      <c r="G53" s="926" t="s">
        <v>77</v>
      </c>
      <c r="H53" s="924">
        <v>0</v>
      </c>
      <c r="I53" s="924">
        <v>0</v>
      </c>
      <c r="J53" s="926" t="s">
        <v>2193</v>
      </c>
      <c r="K53" s="924">
        <v>0</v>
      </c>
      <c r="L53" s="1124"/>
      <c r="M53" s="7"/>
      <c r="O53" s="1117"/>
    </row>
    <row r="54" spans="1:15" x14ac:dyDescent="0.25">
      <c r="A54" s="1103">
        <f t="shared" si="1"/>
        <v>133</v>
      </c>
      <c r="B54" s="503" t="s">
        <v>510</v>
      </c>
      <c r="C54" s="86"/>
      <c r="D54" s="86"/>
      <c r="E54" s="86"/>
      <c r="F54" s="86"/>
      <c r="G54" s="13"/>
      <c r="L54" s="1126"/>
    </row>
    <row r="55" spans="1:15" x14ac:dyDescent="0.25">
      <c r="A55" s="1103"/>
      <c r="L55" s="1127"/>
    </row>
    <row r="56" spans="1:15" x14ac:dyDescent="0.25">
      <c r="A56" s="1103"/>
      <c r="B56" s="38" t="s">
        <v>2556</v>
      </c>
      <c r="C56" s="13"/>
      <c r="D56" s="13"/>
      <c r="E56" s="13"/>
      <c r="F56" s="13"/>
      <c r="L56" s="1127"/>
    </row>
    <row r="57" spans="1:15" x14ac:dyDescent="0.25">
      <c r="A57" s="1103"/>
      <c r="B57" s="38"/>
      <c r="C57" s="13"/>
      <c r="D57" s="13"/>
      <c r="E57" s="13"/>
      <c r="F57" s="13"/>
      <c r="L57" s="1127"/>
    </row>
    <row r="58" spans="1:15" x14ac:dyDescent="0.25">
      <c r="A58" s="1103"/>
      <c r="B58" s="844" t="s">
        <v>2557</v>
      </c>
      <c r="C58" s="844" t="s">
        <v>2558</v>
      </c>
      <c r="D58" s="13"/>
      <c r="E58" s="13"/>
      <c r="F58" s="13"/>
      <c r="L58" s="1127"/>
    </row>
    <row r="59" spans="1:15" x14ac:dyDescent="0.25">
      <c r="A59" s="1103"/>
      <c r="B59" s="129"/>
      <c r="C59" s="86"/>
      <c r="D59" s="86"/>
      <c r="E59" s="86"/>
      <c r="F59" s="86"/>
      <c r="G59" s="86"/>
      <c r="H59" s="86"/>
      <c r="I59" s="86"/>
      <c r="J59" s="86"/>
      <c r="K59" s="86"/>
      <c r="L59" s="1128"/>
    </row>
    <row r="60" spans="1:15" x14ac:dyDescent="0.25">
      <c r="A60" s="1103"/>
      <c r="B60" s="129"/>
      <c r="C60" s="453"/>
      <c r="D60" s="86"/>
      <c r="E60" s="86"/>
      <c r="F60" s="86"/>
      <c r="G60" s="86"/>
      <c r="H60" s="86"/>
      <c r="I60" s="86"/>
      <c r="J60" s="86"/>
      <c r="K60" s="86"/>
      <c r="L60" s="1128"/>
    </row>
    <row r="61" spans="1:15" x14ac:dyDescent="0.25">
      <c r="A61" s="1103"/>
      <c r="B61" s="129"/>
      <c r="C61" s="453"/>
      <c r="D61" s="86"/>
      <c r="E61" s="86"/>
      <c r="F61" s="86"/>
      <c r="G61" s="86"/>
      <c r="H61" s="86"/>
      <c r="I61" s="86"/>
      <c r="J61" s="86"/>
      <c r="K61" s="86"/>
      <c r="L61" s="1128"/>
    </row>
    <row r="62" spans="1:15" x14ac:dyDescent="0.25">
      <c r="A62" s="1103"/>
      <c r="B62" s="129"/>
      <c r="C62" s="86"/>
      <c r="D62" s="86"/>
      <c r="E62" s="86"/>
      <c r="F62" s="86"/>
      <c r="G62" s="86"/>
      <c r="H62" s="86"/>
      <c r="I62" s="86"/>
      <c r="J62" s="86"/>
      <c r="K62" s="86"/>
      <c r="L62" s="1128"/>
    </row>
    <row r="63" spans="1:15" x14ac:dyDescent="0.25">
      <c r="A63" s="1103"/>
      <c r="B63" s="129"/>
      <c r="C63" s="86"/>
      <c r="D63" s="86"/>
      <c r="E63" s="86"/>
      <c r="F63" s="86"/>
      <c r="G63" s="86"/>
      <c r="H63" s="86"/>
      <c r="I63" s="86"/>
      <c r="J63" s="86"/>
      <c r="K63" s="86"/>
      <c r="L63" s="1128"/>
    </row>
    <row r="64" spans="1:15" x14ac:dyDescent="0.25">
      <c r="A64" s="1103"/>
      <c r="B64" s="503" t="s">
        <v>510</v>
      </c>
      <c r="C64" s="86"/>
      <c r="D64" s="86"/>
      <c r="E64" s="86"/>
      <c r="F64" s="86"/>
      <c r="G64" s="86"/>
      <c r="H64" s="86"/>
      <c r="I64" s="86"/>
      <c r="J64" s="86"/>
      <c r="K64" s="86"/>
      <c r="L64" s="1128"/>
    </row>
    <row r="65" spans="1:13" x14ac:dyDescent="0.25">
      <c r="A65" s="1103"/>
      <c r="L65" s="1127"/>
    </row>
    <row r="66" spans="1:13" x14ac:dyDescent="0.25">
      <c r="A66" s="1103">
        <v>200</v>
      </c>
      <c r="E66" s="61" t="s">
        <v>2559</v>
      </c>
      <c r="F66" s="924">
        <v>0</v>
      </c>
      <c r="J66" s="61" t="s">
        <v>2560</v>
      </c>
      <c r="K66" s="924">
        <v>0</v>
      </c>
    </row>
    <row r="67" spans="1:13" x14ac:dyDescent="0.25">
      <c r="A67" s="1103"/>
      <c r="F67" s="56"/>
    </row>
    <row r="68" spans="1:13" x14ac:dyDescent="0.25">
      <c r="A68" s="1103"/>
      <c r="B68" s="1" t="s">
        <v>2561</v>
      </c>
    </row>
    <row r="69" spans="1:13" x14ac:dyDescent="0.25">
      <c r="A69" s="1103"/>
      <c r="B69" s="1"/>
    </row>
    <row r="70" spans="1:13" x14ac:dyDescent="0.25">
      <c r="A70" s="1103"/>
      <c r="B70" s="76" t="s">
        <v>363</v>
      </c>
      <c r="C70" s="76" t="s">
        <v>347</v>
      </c>
      <c r="D70" s="76" t="s">
        <v>348</v>
      </c>
      <c r="E70" s="76" t="s">
        <v>349</v>
      </c>
      <c r="F70" s="76" t="s">
        <v>350</v>
      </c>
      <c r="G70" s="76"/>
      <c r="H70" s="76"/>
      <c r="I70" s="76"/>
      <c r="J70" s="76"/>
      <c r="K70" s="76"/>
      <c r="L70" s="443"/>
      <c r="M70" s="1129"/>
    </row>
    <row r="71" spans="1:13" s="13" customFormat="1" ht="13.8" thickBot="1" x14ac:dyDescent="0.3">
      <c r="A71" s="1103"/>
      <c r="B71" s="445"/>
      <c r="C71" s="445"/>
      <c r="D71" s="445"/>
      <c r="E71" s="445"/>
      <c r="F71" s="457"/>
      <c r="G71" s="76"/>
      <c r="H71" s="76"/>
      <c r="I71" s="76"/>
      <c r="J71" s="76"/>
      <c r="K71" s="76"/>
      <c r="L71" s="443"/>
      <c r="M71" s="892"/>
    </row>
    <row r="72" spans="1:13" s="13" customFormat="1" ht="27" thickBot="1" x14ac:dyDescent="0.3">
      <c r="A72" s="1103"/>
      <c r="B72" s="1104" t="s">
        <v>2545</v>
      </c>
      <c r="C72" s="1105" t="s">
        <v>2546</v>
      </c>
      <c r="D72" s="1105" t="s">
        <v>2547</v>
      </c>
      <c r="E72" s="1106" t="s">
        <v>2548</v>
      </c>
      <c r="F72" s="1107" t="s">
        <v>2562</v>
      </c>
      <c r="G72" s="1169" t="s">
        <v>2563</v>
      </c>
      <c r="H72" s="1170"/>
      <c r="I72" s="76"/>
      <c r="J72" s="76"/>
      <c r="K72" s="76"/>
      <c r="L72" s="443"/>
      <c r="M72" s="892"/>
    </row>
    <row r="73" spans="1:13" s="13" customFormat="1" x14ac:dyDescent="0.25">
      <c r="A73" s="1103">
        <v>201</v>
      </c>
      <c r="B73" s="1119"/>
      <c r="C73" s="1121"/>
      <c r="D73" s="1121"/>
      <c r="E73" s="1122"/>
      <c r="F73" s="1123"/>
      <c r="G73" s="1123"/>
      <c r="H73" s="1123"/>
      <c r="I73" s="76"/>
      <c r="J73" s="76"/>
      <c r="K73" s="76"/>
      <c r="L73" s="443"/>
      <c r="M73" s="892"/>
    </row>
    <row r="74" spans="1:13" s="13" customFormat="1" x14ac:dyDescent="0.25">
      <c r="A74" s="1103">
        <f t="shared" ref="A74:A77" si="2">A73+1</f>
        <v>202</v>
      </c>
      <c r="B74" s="1119"/>
      <c r="C74" s="1121"/>
      <c r="D74" s="1121"/>
      <c r="E74" s="1122"/>
      <c r="F74" s="1123"/>
      <c r="G74" s="1123"/>
      <c r="H74" s="1123"/>
      <c r="I74" s="76"/>
      <c r="J74" s="76"/>
      <c r="K74" s="76"/>
      <c r="L74" s="443"/>
      <c r="M74" s="892"/>
    </row>
    <row r="75" spans="1:13" s="13" customFormat="1" x14ac:dyDescent="0.25">
      <c r="A75" s="1103">
        <f t="shared" si="2"/>
        <v>203</v>
      </c>
      <c r="B75" s="1119"/>
      <c r="C75" s="1121"/>
      <c r="D75" s="1121"/>
      <c r="E75" s="1122"/>
      <c r="F75" s="1123"/>
      <c r="G75" s="1123"/>
      <c r="H75" s="1123"/>
      <c r="I75" s="76"/>
      <c r="J75" s="76"/>
      <c r="K75" s="76"/>
      <c r="L75" s="443"/>
      <c r="M75" s="892"/>
    </row>
    <row r="76" spans="1:13" s="13" customFormat="1" x14ac:dyDescent="0.25">
      <c r="A76" s="1103">
        <f t="shared" si="2"/>
        <v>204</v>
      </c>
      <c r="B76" s="1119" t="s">
        <v>510</v>
      </c>
      <c r="C76" s="1121"/>
      <c r="D76" s="1121"/>
      <c r="E76" s="1122"/>
      <c r="F76" s="1123"/>
      <c r="G76" s="1123"/>
      <c r="H76" s="1123"/>
      <c r="I76" s="76"/>
      <c r="J76" s="76"/>
      <c r="K76" s="76"/>
      <c r="L76" s="443"/>
      <c r="M76" s="892"/>
    </row>
    <row r="77" spans="1:13" s="13" customFormat="1" x14ac:dyDescent="0.25">
      <c r="A77" s="1103">
        <f t="shared" si="2"/>
        <v>205</v>
      </c>
      <c r="B77" s="445"/>
      <c r="C77" s="445"/>
      <c r="D77" s="445"/>
      <c r="E77" s="61" t="s">
        <v>2564</v>
      </c>
      <c r="F77" s="924">
        <v>0</v>
      </c>
      <c r="G77" s="445"/>
      <c r="H77" s="445"/>
      <c r="I77" s="445"/>
      <c r="J77" s="445"/>
      <c r="K77" s="445"/>
      <c r="L77" s="445"/>
      <c r="M77" s="892"/>
    </row>
    <row r="78" spans="1:13" s="13" customFormat="1" x14ac:dyDescent="0.25">
      <c r="A78" s="1103"/>
      <c r="B78" s="445"/>
      <c r="C78" s="445"/>
      <c r="D78" s="445"/>
      <c r="E78" s="61"/>
      <c r="F78" s="450"/>
      <c r="G78" s="445"/>
      <c r="H78" s="445"/>
      <c r="I78" s="445"/>
      <c r="J78" s="445"/>
      <c r="K78" s="445"/>
      <c r="L78" s="445"/>
      <c r="M78" s="892"/>
    </row>
    <row r="79" spans="1:13" s="13" customFormat="1" x14ac:dyDescent="0.25">
      <c r="A79" s="1103"/>
      <c r="B79" s="38" t="s">
        <v>2565</v>
      </c>
      <c r="G79"/>
      <c r="H79"/>
      <c r="I79"/>
      <c r="J79"/>
      <c r="K79"/>
      <c r="L79" s="1127"/>
      <c r="M79" s="892"/>
    </row>
    <row r="80" spans="1:13" s="13" customFormat="1" x14ac:dyDescent="0.25">
      <c r="A80" s="1103"/>
      <c r="B80" s="38"/>
      <c r="G80"/>
      <c r="H80"/>
      <c r="I80"/>
      <c r="J80"/>
      <c r="K80"/>
      <c r="L80" s="1127"/>
      <c r="M80" s="892"/>
    </row>
    <row r="81" spans="1:13" s="13" customFormat="1" x14ac:dyDescent="0.25">
      <c r="A81" s="1103"/>
      <c r="B81" s="844" t="s">
        <v>2557</v>
      </c>
      <c r="C81" s="844" t="s">
        <v>2558</v>
      </c>
      <c r="G81"/>
      <c r="H81"/>
      <c r="I81"/>
      <c r="J81"/>
      <c r="K81"/>
      <c r="L81" s="1127"/>
      <c r="M81" s="892"/>
    </row>
    <row r="82" spans="1:13" s="13" customFormat="1" x14ac:dyDescent="0.25">
      <c r="A82" s="1103"/>
      <c r="B82" s="129"/>
      <c r="C82" s="1123"/>
      <c r="D82" s="86"/>
      <c r="E82" s="86"/>
      <c r="F82" s="86"/>
      <c r="G82" s="86"/>
      <c r="H82" s="86"/>
      <c r="I82" s="86"/>
      <c r="J82" s="86"/>
      <c r="K82" s="86"/>
      <c r="L82" s="1128"/>
      <c r="M82" s="892"/>
    </row>
    <row r="83" spans="1:13" s="13" customFormat="1" x14ac:dyDescent="0.25">
      <c r="A83" s="1103"/>
      <c r="B83" s="129"/>
      <c r="C83" s="453"/>
      <c r="D83" s="86"/>
      <c r="E83" s="86"/>
      <c r="F83" s="86"/>
      <c r="G83" s="86"/>
      <c r="H83" s="86"/>
      <c r="I83" s="86"/>
      <c r="J83" s="86"/>
      <c r="K83" s="86"/>
      <c r="L83" s="1128"/>
      <c r="M83" s="892"/>
    </row>
    <row r="84" spans="1:13" s="13" customFormat="1" x14ac:dyDescent="0.25">
      <c r="A84" s="1103"/>
      <c r="B84" s="129"/>
      <c r="C84" s="453"/>
      <c r="D84" s="86"/>
      <c r="E84" s="86"/>
      <c r="F84" s="86"/>
      <c r="G84" s="86"/>
      <c r="H84" s="86"/>
      <c r="I84" s="86"/>
      <c r="J84" s="86"/>
      <c r="K84" s="86"/>
      <c r="L84" s="1128"/>
      <c r="M84" s="892"/>
    </row>
    <row r="85" spans="1:13" s="13" customFormat="1" x14ac:dyDescent="0.25">
      <c r="A85" s="1103"/>
      <c r="F85" s="56"/>
    </row>
    <row r="86" spans="1:13" x14ac:dyDescent="0.25">
      <c r="B86" s="1130" t="s">
        <v>2566</v>
      </c>
    </row>
    <row r="87" spans="1:13" x14ac:dyDescent="0.25">
      <c r="B87" s="76" t="s">
        <v>363</v>
      </c>
      <c r="C87" s="76" t="s">
        <v>347</v>
      </c>
      <c r="D87" s="76" t="s">
        <v>348</v>
      </c>
    </row>
    <row r="88" spans="1:13" ht="13.8" thickBot="1" x14ac:dyDescent="0.3"/>
    <row r="89" spans="1:13" ht="66.599999999999994" thickBot="1" x14ac:dyDescent="0.3">
      <c r="A89" s="3" t="s">
        <v>332</v>
      </c>
      <c r="B89" s="1131" t="s">
        <v>2545</v>
      </c>
      <c r="C89" s="1132" t="s">
        <v>2567</v>
      </c>
      <c r="D89" s="1133" t="s">
        <v>2568</v>
      </c>
    </row>
    <row r="90" spans="1:13" x14ac:dyDescent="0.25">
      <c r="A90" s="1103">
        <v>301</v>
      </c>
      <c r="B90" s="1113"/>
      <c r="C90" s="92"/>
      <c r="D90" s="92"/>
      <c r="E90" s="56"/>
      <c r="F90" s="1134"/>
    </row>
    <row r="91" spans="1:13" x14ac:dyDescent="0.25">
      <c r="A91" s="1103">
        <f>A90+1</f>
        <v>302</v>
      </c>
      <c r="B91" s="1118"/>
      <c r="C91" s="92"/>
      <c r="D91" s="92"/>
      <c r="E91" s="56"/>
      <c r="F91" s="1134"/>
    </row>
    <row r="92" spans="1:13" x14ac:dyDescent="0.25">
      <c r="A92" s="1103">
        <f t="shared" ref="A92:A123" si="3">A91+1</f>
        <v>303</v>
      </c>
      <c r="B92" s="1118"/>
      <c r="C92" s="92"/>
      <c r="D92" s="92"/>
      <c r="E92" s="56"/>
      <c r="F92" s="1134"/>
    </row>
    <row r="93" spans="1:13" x14ac:dyDescent="0.25">
      <c r="A93" s="1103">
        <f t="shared" si="3"/>
        <v>304</v>
      </c>
      <c r="B93" s="1118"/>
      <c r="C93" s="92"/>
      <c r="D93" s="92"/>
      <c r="E93" s="56"/>
      <c r="F93" s="1134"/>
    </row>
    <row r="94" spans="1:13" x14ac:dyDescent="0.25">
      <c r="A94" s="1103">
        <f t="shared" si="3"/>
        <v>305</v>
      </c>
      <c r="B94" s="1118"/>
      <c r="C94" s="92"/>
      <c r="D94" s="92"/>
      <c r="E94" s="56"/>
      <c r="F94" s="1134"/>
    </row>
    <row r="95" spans="1:13" x14ac:dyDescent="0.25">
      <c r="A95" s="1103">
        <f t="shared" si="3"/>
        <v>306</v>
      </c>
      <c r="B95" s="1118"/>
      <c r="C95" s="92"/>
      <c r="D95" s="92"/>
      <c r="E95" s="56"/>
      <c r="F95" s="1134"/>
    </row>
    <row r="96" spans="1:13" x14ac:dyDescent="0.25">
      <c r="A96" s="1103">
        <f t="shared" si="3"/>
        <v>307</v>
      </c>
      <c r="B96" s="1118"/>
      <c r="C96" s="92"/>
      <c r="D96" s="92"/>
      <c r="E96" s="56"/>
      <c r="F96" s="1134"/>
    </row>
    <row r="97" spans="1:6" x14ac:dyDescent="0.25">
      <c r="A97" s="1103">
        <f t="shared" si="3"/>
        <v>308</v>
      </c>
      <c r="B97" s="1118"/>
      <c r="C97" s="92"/>
      <c r="D97" s="92"/>
      <c r="E97" s="56"/>
      <c r="F97" s="1134"/>
    </row>
    <row r="98" spans="1:6" x14ac:dyDescent="0.25">
      <c r="A98" s="1103">
        <f t="shared" si="3"/>
        <v>309</v>
      </c>
      <c r="B98" s="1119"/>
      <c r="C98" s="92"/>
      <c r="D98" s="92"/>
      <c r="E98" s="56"/>
      <c r="F98" s="1134"/>
    </row>
    <row r="99" spans="1:6" x14ac:dyDescent="0.25">
      <c r="A99" s="1103">
        <f t="shared" si="3"/>
        <v>310</v>
      </c>
      <c r="B99" s="1120"/>
      <c r="C99" s="92"/>
      <c r="D99" s="92"/>
      <c r="E99" s="56"/>
      <c r="F99" s="1134"/>
    </row>
    <row r="100" spans="1:6" x14ac:dyDescent="0.25">
      <c r="A100" s="1103">
        <f t="shared" si="3"/>
        <v>311</v>
      </c>
      <c r="B100" s="1118"/>
      <c r="C100" s="92"/>
      <c r="D100" s="92"/>
      <c r="E100" s="56"/>
      <c r="F100" s="1134"/>
    </row>
    <row r="101" spans="1:6" x14ac:dyDescent="0.25">
      <c r="A101" s="1103">
        <f t="shared" si="3"/>
        <v>312</v>
      </c>
      <c r="B101" s="1118"/>
      <c r="C101" s="92"/>
      <c r="D101" s="92"/>
      <c r="E101" s="56"/>
      <c r="F101" s="1134"/>
    </row>
    <row r="102" spans="1:6" x14ac:dyDescent="0.25">
      <c r="A102" s="1103">
        <f t="shared" si="3"/>
        <v>313</v>
      </c>
      <c r="B102" s="1119"/>
      <c r="C102" s="92"/>
      <c r="D102" s="92"/>
      <c r="E102" s="56"/>
      <c r="F102" s="1134"/>
    </row>
    <row r="103" spans="1:6" x14ac:dyDescent="0.25">
      <c r="A103" s="1103">
        <f t="shared" si="3"/>
        <v>314</v>
      </c>
      <c r="B103" s="1119"/>
      <c r="C103" s="92"/>
      <c r="D103" s="92"/>
      <c r="E103" s="56"/>
      <c r="F103" s="1134"/>
    </row>
    <row r="104" spans="1:6" x14ac:dyDescent="0.25">
      <c r="A104" s="1103">
        <f t="shared" si="3"/>
        <v>315</v>
      </c>
      <c r="B104" s="1119"/>
      <c r="C104" s="92"/>
      <c r="D104" s="92"/>
      <c r="E104" s="56"/>
      <c r="F104" s="1134"/>
    </row>
    <row r="105" spans="1:6" x14ac:dyDescent="0.25">
      <c r="A105" s="1103">
        <f t="shared" si="3"/>
        <v>316</v>
      </c>
      <c r="B105" s="1119"/>
      <c r="C105" s="92"/>
      <c r="D105" s="92"/>
      <c r="E105" s="56"/>
      <c r="F105" s="1134"/>
    </row>
    <row r="106" spans="1:6" x14ac:dyDescent="0.25">
      <c r="A106" s="1103">
        <f t="shared" si="3"/>
        <v>317</v>
      </c>
      <c r="B106" s="1119"/>
      <c r="C106" s="92"/>
      <c r="D106" s="92"/>
      <c r="E106" s="56"/>
      <c r="F106" s="1134"/>
    </row>
    <row r="107" spans="1:6" x14ac:dyDescent="0.25">
      <c r="A107" s="1103">
        <f t="shared" si="3"/>
        <v>318</v>
      </c>
      <c r="B107" s="1119"/>
      <c r="C107" s="92"/>
      <c r="D107" s="92"/>
      <c r="E107" s="56"/>
      <c r="F107" s="1134"/>
    </row>
    <row r="108" spans="1:6" x14ac:dyDescent="0.25">
      <c r="A108" s="1103">
        <f t="shared" si="3"/>
        <v>319</v>
      </c>
      <c r="B108" s="1119"/>
      <c r="C108" s="92"/>
      <c r="D108" s="92"/>
      <c r="E108" s="56"/>
      <c r="F108" s="1134"/>
    </row>
    <row r="109" spans="1:6" x14ac:dyDescent="0.25">
      <c r="A109" s="1103">
        <f t="shared" si="3"/>
        <v>320</v>
      </c>
      <c r="B109" s="1119"/>
      <c r="C109" s="92"/>
      <c r="D109" s="92"/>
      <c r="E109" s="56"/>
      <c r="F109" s="1134"/>
    </row>
    <row r="110" spans="1:6" x14ac:dyDescent="0.25">
      <c r="A110" s="1103">
        <f t="shared" si="3"/>
        <v>321</v>
      </c>
      <c r="B110" s="1119"/>
      <c r="C110" s="92"/>
      <c r="D110" s="92"/>
      <c r="E110" s="56"/>
      <c r="F110" s="1134"/>
    </row>
    <row r="111" spans="1:6" x14ac:dyDescent="0.25">
      <c r="A111" s="1103">
        <f t="shared" si="3"/>
        <v>322</v>
      </c>
      <c r="B111" s="1119"/>
      <c r="C111" s="92"/>
      <c r="D111" s="92"/>
      <c r="E111" s="56"/>
      <c r="F111" s="1134"/>
    </row>
    <row r="112" spans="1:6" x14ac:dyDescent="0.25">
      <c r="A112" s="1103">
        <f t="shared" si="3"/>
        <v>323</v>
      </c>
      <c r="B112" s="1119"/>
      <c r="C112" s="92"/>
      <c r="D112" s="92"/>
      <c r="E112" s="56"/>
      <c r="F112" s="1134"/>
    </row>
    <row r="113" spans="1:8" x14ac:dyDescent="0.25">
      <c r="A113" s="1103">
        <f t="shared" si="3"/>
        <v>324</v>
      </c>
      <c r="B113" s="1119"/>
      <c r="C113" s="1123"/>
      <c r="D113" s="1123"/>
      <c r="E113" s="457"/>
      <c r="F113" s="1135"/>
    </row>
    <row r="114" spans="1:8" x14ac:dyDescent="0.25">
      <c r="A114" s="1103">
        <f t="shared" si="3"/>
        <v>325</v>
      </c>
      <c r="B114" s="1119"/>
      <c r="C114" s="1123"/>
      <c r="D114" s="1123"/>
      <c r="E114" s="457"/>
      <c r="F114" s="1135"/>
    </row>
    <row r="115" spans="1:8" x14ac:dyDescent="0.25">
      <c r="A115" s="1103">
        <f t="shared" si="3"/>
        <v>326</v>
      </c>
      <c r="B115" s="1119"/>
      <c r="C115" s="92"/>
      <c r="D115" s="92"/>
      <c r="E115" s="56"/>
      <c r="F115" s="1134"/>
    </row>
    <row r="116" spans="1:8" x14ac:dyDescent="0.25">
      <c r="A116" s="1103">
        <f t="shared" si="3"/>
        <v>327</v>
      </c>
      <c r="B116" s="1119"/>
      <c r="C116" s="92"/>
      <c r="D116" s="92"/>
      <c r="E116" s="56"/>
      <c r="F116" s="1134"/>
    </row>
    <row r="117" spans="1:8" x14ac:dyDescent="0.25">
      <c r="A117" s="1103">
        <f t="shared" si="3"/>
        <v>328</v>
      </c>
      <c r="B117" s="1119"/>
      <c r="C117" s="92"/>
      <c r="D117" s="92"/>
      <c r="E117" s="56"/>
      <c r="F117" s="13"/>
    </row>
    <row r="118" spans="1:8" x14ac:dyDescent="0.25">
      <c r="A118" s="1103">
        <f t="shared" si="3"/>
        <v>329</v>
      </c>
      <c r="B118" s="1119"/>
      <c r="C118" s="92"/>
      <c r="D118" s="92"/>
      <c r="E118" s="56"/>
      <c r="F118" s="13"/>
    </row>
    <row r="119" spans="1:8" x14ac:dyDescent="0.25">
      <c r="A119" s="1103">
        <f t="shared" si="3"/>
        <v>330</v>
      </c>
      <c r="B119" s="1119"/>
      <c r="C119" s="92"/>
      <c r="D119" s="92"/>
      <c r="E119" s="56"/>
      <c r="F119" s="13"/>
    </row>
    <row r="120" spans="1:8" x14ac:dyDescent="0.25">
      <c r="A120" s="1103">
        <f t="shared" si="3"/>
        <v>331</v>
      </c>
      <c r="B120" s="1119"/>
      <c r="C120" s="92"/>
      <c r="D120" s="92"/>
      <c r="E120" s="56"/>
      <c r="F120" s="13"/>
    </row>
    <row r="121" spans="1:8" x14ac:dyDescent="0.25">
      <c r="A121" s="1103">
        <f t="shared" si="3"/>
        <v>332</v>
      </c>
      <c r="B121" s="1119"/>
      <c r="C121" s="92"/>
      <c r="D121" s="92"/>
      <c r="E121" s="56"/>
      <c r="F121" s="13"/>
    </row>
    <row r="122" spans="1:8" x14ac:dyDescent="0.25">
      <c r="A122" s="1103">
        <f t="shared" si="3"/>
        <v>333</v>
      </c>
      <c r="B122" s="1119"/>
      <c r="C122" s="92"/>
      <c r="D122" s="92"/>
      <c r="E122" s="56"/>
      <c r="F122" s="13"/>
    </row>
    <row r="123" spans="1:8" x14ac:dyDescent="0.25">
      <c r="A123" s="1103">
        <f t="shared" si="3"/>
        <v>334</v>
      </c>
      <c r="B123" s="1136" t="s">
        <v>510</v>
      </c>
      <c r="C123" s="92"/>
      <c r="D123" s="92"/>
      <c r="E123" s="56"/>
      <c r="F123" s="13"/>
    </row>
    <row r="124" spans="1:8" x14ac:dyDescent="0.25">
      <c r="A124" s="1103"/>
      <c r="G124" s="56"/>
      <c r="H124" s="13"/>
    </row>
    <row r="125" spans="1:8" x14ac:dyDescent="0.25">
      <c r="B125" s="1130" t="s">
        <v>2569</v>
      </c>
    </row>
    <row r="126" spans="1:8" x14ac:dyDescent="0.25">
      <c r="B126" s="76" t="s">
        <v>363</v>
      </c>
      <c r="C126" s="76" t="s">
        <v>347</v>
      </c>
      <c r="D126" s="76" t="s">
        <v>348</v>
      </c>
    </row>
    <row r="127" spans="1:8" ht="13.8" thickBot="1" x14ac:dyDescent="0.3"/>
    <row r="128" spans="1:8" ht="40.200000000000003" customHeight="1" thickBot="1" x14ac:dyDescent="0.3">
      <c r="A128" s="3" t="s">
        <v>332</v>
      </c>
      <c r="B128" s="1131" t="s">
        <v>2545</v>
      </c>
      <c r="C128" s="1132" t="s">
        <v>2570</v>
      </c>
      <c r="D128" s="1133" t="s">
        <v>2571</v>
      </c>
    </row>
    <row r="129" spans="1:4" x14ac:dyDescent="0.25">
      <c r="A129" s="547">
        <v>401</v>
      </c>
      <c r="B129" s="1137"/>
      <c r="C129" s="92"/>
      <c r="D129" s="92"/>
    </row>
    <row r="130" spans="1:4" x14ac:dyDescent="0.25">
      <c r="A130" s="1103">
        <f t="shared" ref="A130:A185" si="4">A129+1</f>
        <v>402</v>
      </c>
      <c r="B130" s="1137"/>
      <c r="C130" s="92"/>
      <c r="D130" s="92"/>
    </row>
    <row r="131" spans="1:4" x14ac:dyDescent="0.25">
      <c r="A131" s="1103">
        <f t="shared" si="4"/>
        <v>403</v>
      </c>
      <c r="B131" s="1137"/>
      <c r="C131" s="92"/>
      <c r="D131" s="92"/>
    </row>
    <row r="132" spans="1:4" x14ac:dyDescent="0.25">
      <c r="A132" s="1103">
        <f t="shared" si="4"/>
        <v>404</v>
      </c>
      <c r="B132" s="1137"/>
      <c r="C132" s="92"/>
      <c r="D132" s="92"/>
    </row>
    <row r="133" spans="1:4" x14ac:dyDescent="0.25">
      <c r="A133" s="1103">
        <f t="shared" si="4"/>
        <v>405</v>
      </c>
      <c r="B133" s="1137"/>
      <c r="C133" s="92"/>
      <c r="D133" s="92"/>
    </row>
    <row r="134" spans="1:4" x14ac:dyDescent="0.25">
      <c r="A134" s="1103">
        <f t="shared" si="4"/>
        <v>406</v>
      </c>
      <c r="B134" s="1137"/>
      <c r="C134" s="92"/>
      <c r="D134" s="92"/>
    </row>
    <row r="135" spans="1:4" x14ac:dyDescent="0.25">
      <c r="A135" s="1103">
        <f t="shared" si="4"/>
        <v>407</v>
      </c>
      <c r="B135" s="1137"/>
      <c r="C135" s="92"/>
      <c r="D135" s="92"/>
    </row>
    <row r="136" spans="1:4" x14ac:dyDescent="0.25">
      <c r="A136" s="1103">
        <f t="shared" si="4"/>
        <v>408</v>
      </c>
      <c r="B136" s="1137"/>
      <c r="C136" s="92"/>
      <c r="D136" s="92"/>
    </row>
    <row r="137" spans="1:4" x14ac:dyDescent="0.25">
      <c r="A137" s="1103">
        <f t="shared" si="4"/>
        <v>409</v>
      </c>
      <c r="B137" s="1137"/>
      <c r="C137" s="92"/>
      <c r="D137" s="92"/>
    </row>
    <row r="138" spans="1:4" x14ac:dyDescent="0.25">
      <c r="A138" s="1103">
        <f t="shared" si="4"/>
        <v>410</v>
      </c>
      <c r="B138" s="1137"/>
      <c r="C138" s="92"/>
      <c r="D138" s="92"/>
    </row>
    <row r="139" spans="1:4" x14ac:dyDescent="0.25">
      <c r="A139" s="1103">
        <f t="shared" si="4"/>
        <v>411</v>
      </c>
      <c r="B139" s="1137"/>
      <c r="C139" s="92"/>
      <c r="D139" s="92"/>
    </row>
    <row r="140" spans="1:4" x14ac:dyDescent="0.25">
      <c r="A140" s="1103">
        <f t="shared" si="4"/>
        <v>412</v>
      </c>
      <c r="B140" s="1137"/>
      <c r="C140" s="92"/>
      <c r="D140" s="92"/>
    </row>
    <row r="141" spans="1:4" x14ac:dyDescent="0.25">
      <c r="A141" s="1103">
        <f t="shared" si="4"/>
        <v>413</v>
      </c>
      <c r="B141" s="1137"/>
      <c r="C141" s="92"/>
      <c r="D141" s="92"/>
    </row>
    <row r="142" spans="1:4" x14ac:dyDescent="0.25">
      <c r="A142" s="1103">
        <f t="shared" si="4"/>
        <v>414</v>
      </c>
      <c r="B142" s="1137"/>
      <c r="C142" s="92"/>
      <c r="D142" s="92"/>
    </row>
    <row r="143" spans="1:4" x14ac:dyDescent="0.25">
      <c r="A143" s="1103">
        <f t="shared" si="4"/>
        <v>415</v>
      </c>
      <c r="B143" s="1137"/>
      <c r="C143" s="92"/>
      <c r="D143" s="92"/>
    </row>
    <row r="144" spans="1:4" x14ac:dyDescent="0.25">
      <c r="A144" s="1103">
        <f t="shared" si="4"/>
        <v>416</v>
      </c>
      <c r="B144" s="1137"/>
      <c r="C144" s="92"/>
      <c r="D144" s="92"/>
    </row>
    <row r="145" spans="1:4" x14ac:dyDescent="0.25">
      <c r="A145" s="1103">
        <f t="shared" si="4"/>
        <v>417</v>
      </c>
      <c r="B145" s="1137"/>
      <c r="C145" s="92"/>
      <c r="D145" s="92"/>
    </row>
    <row r="146" spans="1:4" x14ac:dyDescent="0.25">
      <c r="A146" s="1103">
        <f t="shared" si="4"/>
        <v>418</v>
      </c>
      <c r="B146" s="1137"/>
      <c r="C146" s="92"/>
      <c r="D146" s="92"/>
    </row>
    <row r="147" spans="1:4" x14ac:dyDescent="0.25">
      <c r="A147" s="1103">
        <f t="shared" si="4"/>
        <v>419</v>
      </c>
      <c r="B147" s="1137"/>
      <c r="C147" s="92"/>
      <c r="D147" s="92"/>
    </row>
    <row r="148" spans="1:4" x14ac:dyDescent="0.25">
      <c r="A148" s="1103">
        <f t="shared" si="4"/>
        <v>420</v>
      </c>
      <c r="B148" s="1137"/>
      <c r="C148" s="92"/>
      <c r="D148" s="92"/>
    </row>
    <row r="149" spans="1:4" x14ac:dyDescent="0.25">
      <c r="A149" s="1103">
        <f t="shared" si="4"/>
        <v>421</v>
      </c>
      <c r="B149" s="1137"/>
      <c r="C149" s="92"/>
      <c r="D149" s="92"/>
    </row>
    <row r="150" spans="1:4" x14ac:dyDescent="0.25">
      <c r="A150" s="1103">
        <f t="shared" si="4"/>
        <v>422</v>
      </c>
      <c r="B150" s="1137"/>
      <c r="C150" s="92"/>
      <c r="D150" s="92"/>
    </row>
    <row r="151" spans="1:4" x14ac:dyDescent="0.25">
      <c r="A151" s="1103">
        <f t="shared" si="4"/>
        <v>423</v>
      </c>
      <c r="B151" s="1137"/>
      <c r="C151" s="92"/>
      <c r="D151" s="92"/>
    </row>
    <row r="152" spans="1:4" x14ac:dyDescent="0.25">
      <c r="A152" s="1103">
        <f t="shared" si="4"/>
        <v>424</v>
      </c>
      <c r="B152" s="1137"/>
      <c r="C152" s="92"/>
      <c r="D152" s="92"/>
    </row>
    <row r="153" spans="1:4" x14ac:dyDescent="0.25">
      <c r="A153" s="1103">
        <f t="shared" si="4"/>
        <v>425</v>
      </c>
      <c r="B153" s="1137"/>
      <c r="C153" s="92"/>
      <c r="D153" s="92"/>
    </row>
    <row r="154" spans="1:4" x14ac:dyDescent="0.25">
      <c r="A154" s="1103">
        <f t="shared" si="4"/>
        <v>426</v>
      </c>
      <c r="B154" s="1137"/>
      <c r="C154" s="92"/>
      <c r="D154" s="92"/>
    </row>
    <row r="155" spans="1:4" x14ac:dyDescent="0.25">
      <c r="A155" s="1103">
        <f t="shared" si="4"/>
        <v>427</v>
      </c>
      <c r="B155" s="1137"/>
      <c r="C155" s="92"/>
      <c r="D155" s="92"/>
    </row>
    <row r="156" spans="1:4" x14ac:dyDescent="0.25">
      <c r="A156" s="1103">
        <f t="shared" si="4"/>
        <v>428</v>
      </c>
      <c r="B156" s="1137"/>
      <c r="C156" s="92"/>
      <c r="D156" s="92"/>
    </row>
    <row r="157" spans="1:4" x14ac:dyDescent="0.25">
      <c r="A157" s="1103">
        <f t="shared" si="4"/>
        <v>429</v>
      </c>
      <c r="B157" s="1137"/>
      <c r="C157" s="92"/>
      <c r="D157" s="92"/>
    </row>
    <row r="158" spans="1:4" x14ac:dyDescent="0.25">
      <c r="A158" s="1103">
        <f t="shared" si="4"/>
        <v>430</v>
      </c>
      <c r="B158" s="1137"/>
      <c r="C158" s="92"/>
      <c r="D158" s="92"/>
    </row>
    <row r="159" spans="1:4" x14ac:dyDescent="0.25">
      <c r="A159" s="1103">
        <f t="shared" si="4"/>
        <v>431</v>
      </c>
      <c r="B159" s="1137"/>
      <c r="C159" s="92"/>
      <c r="D159" s="92"/>
    </row>
    <row r="160" spans="1:4" x14ac:dyDescent="0.25">
      <c r="A160" s="1103">
        <f t="shared" si="4"/>
        <v>432</v>
      </c>
      <c r="B160" s="1137"/>
      <c r="C160" s="92"/>
      <c r="D160" s="92"/>
    </row>
    <row r="161" spans="1:4" x14ac:dyDescent="0.25">
      <c r="A161" s="1103">
        <f t="shared" si="4"/>
        <v>433</v>
      </c>
      <c r="B161" s="1137"/>
      <c r="C161" s="92"/>
      <c r="D161" s="92"/>
    </row>
    <row r="162" spans="1:4" x14ac:dyDescent="0.25">
      <c r="A162" s="1103">
        <f t="shared" si="4"/>
        <v>434</v>
      </c>
      <c r="B162" s="1137"/>
      <c r="C162" s="92"/>
      <c r="D162" s="92"/>
    </row>
    <row r="163" spans="1:4" x14ac:dyDescent="0.25">
      <c r="A163" s="1103">
        <f t="shared" si="4"/>
        <v>435</v>
      </c>
      <c r="B163" s="1137"/>
      <c r="C163" s="92"/>
      <c r="D163" s="92"/>
    </row>
    <row r="164" spans="1:4" x14ac:dyDescent="0.25">
      <c r="A164" s="1103">
        <f t="shared" si="4"/>
        <v>436</v>
      </c>
      <c r="B164" s="1137"/>
      <c r="C164" s="92"/>
      <c r="D164" s="92"/>
    </row>
    <row r="165" spans="1:4" x14ac:dyDescent="0.25">
      <c r="A165" s="1103">
        <f t="shared" si="4"/>
        <v>437</v>
      </c>
      <c r="B165" s="1137"/>
      <c r="C165" s="92"/>
      <c r="D165" s="92"/>
    </row>
    <row r="166" spans="1:4" x14ac:dyDescent="0.25">
      <c r="A166" s="1103">
        <f t="shared" si="4"/>
        <v>438</v>
      </c>
      <c r="B166" s="1137"/>
      <c r="C166" s="92"/>
      <c r="D166" s="92"/>
    </row>
    <row r="167" spans="1:4" x14ac:dyDescent="0.25">
      <c r="A167" s="1103">
        <f t="shared" si="4"/>
        <v>439</v>
      </c>
      <c r="B167" s="1137"/>
      <c r="C167" s="92"/>
      <c r="D167" s="92"/>
    </row>
    <row r="168" spans="1:4" x14ac:dyDescent="0.25">
      <c r="A168" s="1103"/>
    </row>
    <row r="169" spans="1:4" x14ac:dyDescent="0.25">
      <c r="B169" s="1130" t="s">
        <v>2572</v>
      </c>
    </row>
    <row r="170" spans="1:4" x14ac:dyDescent="0.25">
      <c r="B170" s="76" t="s">
        <v>363</v>
      </c>
      <c r="C170" s="76" t="s">
        <v>347</v>
      </c>
      <c r="D170" s="76" t="s">
        <v>348</v>
      </c>
    </row>
    <row r="171" spans="1:4" ht="13.8" thickBot="1" x14ac:dyDescent="0.3"/>
    <row r="172" spans="1:4" ht="40.200000000000003" thickBot="1" x14ac:dyDescent="0.3">
      <c r="A172" s="3" t="s">
        <v>332</v>
      </c>
      <c r="B172" s="1131" t="s">
        <v>2545</v>
      </c>
      <c r="C172" s="1132" t="s">
        <v>2570</v>
      </c>
      <c r="D172" s="1133" t="s">
        <v>2571</v>
      </c>
    </row>
    <row r="173" spans="1:4" x14ac:dyDescent="0.25">
      <c r="A173" s="1103">
        <f>A167+1</f>
        <v>440</v>
      </c>
      <c r="B173" s="1137"/>
      <c r="C173" s="92"/>
      <c r="D173" s="92"/>
    </row>
    <row r="174" spans="1:4" x14ac:dyDescent="0.25">
      <c r="A174" s="1103">
        <f t="shared" si="4"/>
        <v>441</v>
      </c>
      <c r="B174" s="1137"/>
      <c r="C174" s="92"/>
      <c r="D174" s="92"/>
    </row>
    <row r="175" spans="1:4" x14ac:dyDescent="0.25">
      <c r="A175" s="1103">
        <f t="shared" si="4"/>
        <v>442</v>
      </c>
      <c r="B175" s="1137"/>
      <c r="C175" s="92"/>
      <c r="D175" s="92"/>
    </row>
    <row r="176" spans="1:4" x14ac:dyDescent="0.25">
      <c r="A176" s="1103">
        <f t="shared" si="4"/>
        <v>443</v>
      </c>
      <c r="B176" s="1137"/>
      <c r="C176" s="92"/>
      <c r="D176" s="92"/>
    </row>
    <row r="177" spans="1:4" x14ac:dyDescent="0.25">
      <c r="A177" s="1103">
        <f t="shared" si="4"/>
        <v>444</v>
      </c>
      <c r="B177" s="1137"/>
      <c r="C177" s="92"/>
      <c r="D177" s="92"/>
    </row>
    <row r="178" spans="1:4" x14ac:dyDescent="0.25">
      <c r="A178" s="1103">
        <f t="shared" si="4"/>
        <v>445</v>
      </c>
      <c r="B178" s="1137"/>
      <c r="C178" s="92"/>
      <c r="D178" s="92"/>
    </row>
    <row r="179" spans="1:4" x14ac:dyDescent="0.25">
      <c r="A179" s="1103">
        <f t="shared" si="4"/>
        <v>446</v>
      </c>
      <c r="B179" s="1137"/>
      <c r="C179" s="92"/>
      <c r="D179" s="92"/>
    </row>
    <row r="180" spans="1:4" x14ac:dyDescent="0.25">
      <c r="A180" s="1103">
        <f t="shared" si="4"/>
        <v>447</v>
      </c>
      <c r="B180" s="1137"/>
      <c r="C180" s="92"/>
      <c r="D180" s="92"/>
    </row>
    <row r="181" spans="1:4" x14ac:dyDescent="0.25">
      <c r="A181" s="1103">
        <f t="shared" si="4"/>
        <v>448</v>
      </c>
      <c r="B181" s="1137"/>
      <c r="C181" s="92"/>
      <c r="D181" s="92"/>
    </row>
    <row r="182" spans="1:4" x14ac:dyDescent="0.25">
      <c r="A182" s="1103">
        <f t="shared" si="4"/>
        <v>449</v>
      </c>
      <c r="B182" s="1137"/>
      <c r="C182" s="92"/>
      <c r="D182" s="92"/>
    </row>
    <row r="183" spans="1:4" x14ac:dyDescent="0.25">
      <c r="A183" s="1103">
        <f t="shared" si="4"/>
        <v>450</v>
      </c>
      <c r="B183" s="1137"/>
      <c r="C183" s="92"/>
      <c r="D183" s="92"/>
    </row>
    <row r="184" spans="1:4" x14ac:dyDescent="0.25">
      <c r="A184" s="1103">
        <f t="shared" si="4"/>
        <v>451</v>
      </c>
      <c r="B184" s="1137"/>
      <c r="C184" s="92"/>
      <c r="D184" s="92"/>
    </row>
    <row r="185" spans="1:4" x14ac:dyDescent="0.25">
      <c r="A185" s="1103">
        <f t="shared" si="4"/>
        <v>452</v>
      </c>
      <c r="B185" s="503"/>
      <c r="C185" s="86"/>
      <c r="D185" s="86"/>
    </row>
    <row r="187" spans="1:4" x14ac:dyDescent="0.25">
      <c r="A187" s="547">
        <v>500</v>
      </c>
      <c r="B187" s="1138" t="s">
        <v>2573</v>
      </c>
      <c r="C187" s="924">
        <v>0</v>
      </c>
      <c r="D187" s="924">
        <v>0</v>
      </c>
    </row>
    <row r="189" spans="1:4" x14ac:dyDescent="0.25">
      <c r="B189" s="1" t="s">
        <v>233</v>
      </c>
    </row>
    <row r="190" spans="1:4" x14ac:dyDescent="0.25">
      <c r="B190" s="443" t="s">
        <v>2574</v>
      </c>
    </row>
    <row r="191" spans="1:4" x14ac:dyDescent="0.25">
      <c r="B191" s="340" t="s">
        <v>2575</v>
      </c>
    </row>
    <row r="193" spans="2:2" x14ac:dyDescent="0.25">
      <c r="B193" s="443"/>
    </row>
  </sheetData>
  <mergeCells count="1">
    <mergeCell ref="G72:H72"/>
  </mergeCells>
  <pageMargins left="0.7" right="0.7" top="0.75" bottom="0.75" header="0.3" footer="0.3"/>
  <pageSetup scale="68" orientation="landscape" r:id="rId1"/>
  <headerFooter>
    <oddHeader>&amp;CSchedule 5 ROR-3
Return and Capitalization</oddHeader>
    <oddFooter>&amp;R5-ROR-3</oddFooter>
  </headerFooter>
  <rowBreaks count="4" manualBreakCount="4">
    <brk id="54" max="16383" man="1"/>
    <brk id="85" max="16383" man="1"/>
    <brk id="124" max="16383" man="1"/>
    <brk id="16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heetViews>
  <sheetFormatPr defaultRowHeight="13.2" x14ac:dyDescent="0.25"/>
  <cols>
    <col min="1" max="1" width="4.77734375" customWidth="1"/>
    <col min="2" max="2" width="27.77734375" customWidth="1"/>
    <col min="3" max="4" width="12.77734375" customWidth="1"/>
    <col min="5" max="5" width="14.77734375" customWidth="1"/>
    <col min="6" max="12" width="12.77734375" customWidth="1"/>
  </cols>
  <sheetData>
    <row r="1" spans="1:6" x14ac:dyDescent="0.25">
      <c r="A1" s="1" t="s">
        <v>44</v>
      </c>
    </row>
    <row r="2" spans="1:6" x14ac:dyDescent="0.25">
      <c r="B2" s="441" t="s">
        <v>2524</v>
      </c>
      <c r="C2" s="129"/>
    </row>
    <row r="4" spans="1:6" x14ac:dyDescent="0.25">
      <c r="B4" s="1" t="s">
        <v>2576</v>
      </c>
    </row>
    <row r="5" spans="1:6" x14ac:dyDescent="0.25">
      <c r="A5" s="44" t="s">
        <v>332</v>
      </c>
      <c r="E5" s="3" t="s">
        <v>176</v>
      </c>
      <c r="F5" s="3" t="s">
        <v>206</v>
      </c>
    </row>
    <row r="6" spans="1:6" x14ac:dyDescent="0.25">
      <c r="A6" s="547">
        <v>1</v>
      </c>
      <c r="D6" s="441" t="s">
        <v>2577</v>
      </c>
      <c r="E6" s="924">
        <v>0</v>
      </c>
      <c r="F6" s="15" t="str">
        <f>"Line "&amp;A33&amp;", Col 9"</f>
        <v>Line 112, Col 9</v>
      </c>
    </row>
    <row r="7" spans="1:6" ht="15" x14ac:dyDescent="0.4">
      <c r="A7" s="547">
        <f>A6+1</f>
        <v>2</v>
      </c>
      <c r="D7" s="441" t="s">
        <v>2578</v>
      </c>
      <c r="E7" s="925">
        <v>0</v>
      </c>
      <c r="F7" s="15" t="str">
        <f>"Line "&amp;A69&amp;", Col 6"</f>
        <v>Line 312, Col 6</v>
      </c>
    </row>
    <row r="8" spans="1:6" x14ac:dyDescent="0.25">
      <c r="A8" s="547">
        <f t="shared" ref="A8:A14" si="0">A7+1</f>
        <v>3</v>
      </c>
      <c r="D8" s="441" t="s">
        <v>2579</v>
      </c>
      <c r="E8" s="924">
        <v>0</v>
      </c>
      <c r="F8" s="537" t="s">
        <v>2529</v>
      </c>
    </row>
    <row r="9" spans="1:6" x14ac:dyDescent="0.25">
      <c r="A9" s="547">
        <f t="shared" si="0"/>
        <v>4</v>
      </c>
      <c r="F9" s="58"/>
    </row>
    <row r="10" spans="1:6" x14ac:dyDescent="0.25">
      <c r="A10" s="547">
        <f t="shared" si="0"/>
        <v>5</v>
      </c>
      <c r="D10" s="441" t="s">
        <v>2580</v>
      </c>
      <c r="E10" s="924">
        <v>0</v>
      </c>
      <c r="F10" s="15" t="str">
        <f>"Line "&amp;A33&amp;", Col 4"</f>
        <v>Line 112, Col 4</v>
      </c>
    </row>
    <row r="11" spans="1:6" ht="15" x14ac:dyDescent="0.4">
      <c r="A11" s="547">
        <f t="shared" si="0"/>
        <v>6</v>
      </c>
      <c r="D11" s="441" t="s">
        <v>2581</v>
      </c>
      <c r="E11" s="925">
        <v>0</v>
      </c>
      <c r="F11" s="15" t="str">
        <f>"Line "&amp;A69&amp;", Col 4"</f>
        <v>Line 312, Col 4</v>
      </c>
    </row>
    <row r="12" spans="1:6" x14ac:dyDescent="0.25">
      <c r="A12" s="547">
        <f t="shared" si="0"/>
        <v>7</v>
      </c>
      <c r="D12" s="441" t="s">
        <v>2582</v>
      </c>
      <c r="E12" s="924">
        <v>0</v>
      </c>
      <c r="F12" s="537" t="s">
        <v>2583</v>
      </c>
    </row>
    <row r="13" spans="1:6" x14ac:dyDescent="0.25">
      <c r="A13" s="547">
        <f t="shared" si="0"/>
        <v>8</v>
      </c>
      <c r="F13" s="58"/>
    </row>
    <row r="14" spans="1:6" x14ac:dyDescent="0.25">
      <c r="A14" s="547">
        <f t="shared" si="0"/>
        <v>9</v>
      </c>
      <c r="D14" s="441" t="s">
        <v>2584</v>
      </c>
      <c r="E14" s="926" t="s">
        <v>2193</v>
      </c>
      <c r="F14" s="537" t="s">
        <v>2585</v>
      </c>
    </row>
    <row r="15" spans="1:6" x14ac:dyDescent="0.25">
      <c r="A15" s="547"/>
    </row>
    <row r="16" spans="1:6" x14ac:dyDescent="0.25">
      <c r="A16" s="547"/>
      <c r="B16" s="1" t="s">
        <v>2586</v>
      </c>
    </row>
    <row r="17" spans="1:12" x14ac:dyDescent="0.25">
      <c r="A17" s="547"/>
    </row>
    <row r="18" spans="1:12" x14ac:dyDescent="0.25">
      <c r="A18" s="547"/>
      <c r="B18" s="76" t="s">
        <v>363</v>
      </c>
      <c r="C18" s="76" t="s">
        <v>347</v>
      </c>
      <c r="D18" s="76" t="s">
        <v>348</v>
      </c>
      <c r="E18" s="76" t="s">
        <v>349</v>
      </c>
      <c r="F18" s="76" t="s">
        <v>350</v>
      </c>
      <c r="G18" s="76" t="s">
        <v>351</v>
      </c>
      <c r="H18" s="76" t="s">
        <v>352</v>
      </c>
      <c r="I18" s="76" t="s">
        <v>541</v>
      </c>
      <c r="J18" s="76" t="s">
        <v>955</v>
      </c>
      <c r="K18" s="76"/>
    </row>
    <row r="19" spans="1:12" x14ac:dyDescent="0.25">
      <c r="A19" s="547"/>
      <c r="B19" s="863" t="s">
        <v>2587</v>
      </c>
      <c r="C19" s="863" t="s">
        <v>33</v>
      </c>
      <c r="D19" s="863" t="s">
        <v>2587</v>
      </c>
      <c r="E19" s="863" t="s">
        <v>2588</v>
      </c>
      <c r="F19" s="863" t="s">
        <v>2589</v>
      </c>
      <c r="G19" s="863" t="s">
        <v>2590</v>
      </c>
      <c r="H19" s="863" t="s">
        <v>2591</v>
      </c>
      <c r="I19" s="863" t="s">
        <v>2592</v>
      </c>
      <c r="J19" s="863" t="s">
        <v>2593</v>
      </c>
      <c r="K19" s="76"/>
    </row>
    <row r="20" spans="1:12" ht="13.8" thickBot="1" x14ac:dyDescent="0.3"/>
    <row r="21" spans="1:12" ht="55.05" customHeight="1" thickBot="1" x14ac:dyDescent="0.3">
      <c r="A21" s="44" t="s">
        <v>332</v>
      </c>
      <c r="B21" s="1139" t="s">
        <v>27</v>
      </c>
      <c r="C21" s="1140" t="s">
        <v>2594</v>
      </c>
      <c r="D21" s="1131" t="s">
        <v>2595</v>
      </c>
      <c r="E21" s="1141" t="s">
        <v>2596</v>
      </c>
      <c r="F21" s="1131" t="s">
        <v>2597</v>
      </c>
      <c r="G21" s="1142" t="s">
        <v>2598</v>
      </c>
      <c r="H21" s="1131" t="s">
        <v>2599</v>
      </c>
      <c r="I21" s="1131" t="s">
        <v>2600</v>
      </c>
      <c r="J21" s="1143" t="s">
        <v>2601</v>
      </c>
      <c r="K21" s="1107" t="s">
        <v>169</v>
      </c>
    </row>
    <row r="22" spans="1:12" x14ac:dyDescent="0.25">
      <c r="A22" s="547">
        <v>101</v>
      </c>
      <c r="B22" s="501"/>
      <c r="C22" s="1144"/>
      <c r="D22" s="1145"/>
      <c r="E22" s="1146"/>
      <c r="F22" s="924">
        <v>0</v>
      </c>
      <c r="G22" s="924">
        <v>0</v>
      </c>
      <c r="H22" s="926" t="s">
        <v>2193</v>
      </c>
      <c r="I22" s="926" t="s">
        <v>2193</v>
      </c>
      <c r="J22" s="924">
        <v>0</v>
      </c>
      <c r="K22" s="86"/>
      <c r="L22" s="1147"/>
    </row>
    <row r="23" spans="1:12" x14ac:dyDescent="0.25">
      <c r="A23" s="547">
        <f>A22+1</f>
        <v>102</v>
      </c>
      <c r="B23" s="501"/>
      <c r="C23" s="1148"/>
      <c r="D23" s="1145"/>
      <c r="E23" s="1146"/>
      <c r="F23" s="924">
        <v>0</v>
      </c>
      <c r="G23" s="924">
        <v>0</v>
      </c>
      <c r="H23" s="926" t="s">
        <v>2193</v>
      </c>
      <c r="I23" s="926" t="s">
        <v>2193</v>
      </c>
      <c r="J23" s="924">
        <v>0</v>
      </c>
      <c r="K23" s="86"/>
      <c r="L23" s="1147"/>
    </row>
    <row r="24" spans="1:12" x14ac:dyDescent="0.25">
      <c r="A24" s="547">
        <f t="shared" ref="A24:A33" si="1">A23+1</f>
        <v>103</v>
      </c>
      <c r="B24" s="501"/>
      <c r="C24" s="1148"/>
      <c r="D24" s="1145"/>
      <c r="E24" s="1146"/>
      <c r="F24" s="924">
        <v>0</v>
      </c>
      <c r="G24" s="924">
        <v>0</v>
      </c>
      <c r="H24" s="926" t="s">
        <v>2193</v>
      </c>
      <c r="I24" s="926" t="s">
        <v>2193</v>
      </c>
      <c r="J24" s="924">
        <v>0</v>
      </c>
      <c r="K24" s="86"/>
      <c r="L24" s="1147"/>
    </row>
    <row r="25" spans="1:12" x14ac:dyDescent="0.25">
      <c r="A25" s="547">
        <f t="shared" si="1"/>
        <v>104</v>
      </c>
      <c r="B25" s="501"/>
      <c r="C25" s="1148"/>
      <c r="D25" s="1145"/>
      <c r="E25" s="1146"/>
      <c r="F25" s="924">
        <v>0</v>
      </c>
      <c r="G25" s="924">
        <v>0</v>
      </c>
      <c r="H25" s="926" t="s">
        <v>2193</v>
      </c>
      <c r="I25" s="926" t="s">
        <v>2193</v>
      </c>
      <c r="J25" s="924">
        <v>0</v>
      </c>
      <c r="K25" s="86"/>
      <c r="L25" s="1147"/>
    </row>
    <row r="26" spans="1:12" x14ac:dyDescent="0.25">
      <c r="A26" s="547">
        <f t="shared" si="1"/>
        <v>105</v>
      </c>
      <c r="B26" s="501"/>
      <c r="C26" s="1148"/>
      <c r="D26" s="1145"/>
      <c r="E26" s="1149"/>
      <c r="F26" s="924">
        <v>0</v>
      </c>
      <c r="G26" s="924">
        <v>0</v>
      </c>
      <c r="H26" s="926" t="s">
        <v>2193</v>
      </c>
      <c r="I26" s="926" t="s">
        <v>2193</v>
      </c>
      <c r="J26" s="924">
        <v>0</v>
      </c>
      <c r="K26" s="86"/>
      <c r="L26" s="1147"/>
    </row>
    <row r="27" spans="1:12" x14ac:dyDescent="0.25">
      <c r="A27" s="547">
        <f t="shared" si="1"/>
        <v>106</v>
      </c>
      <c r="B27" s="501"/>
      <c r="C27" s="1148"/>
      <c r="D27" s="1145"/>
      <c r="E27" s="1149"/>
      <c r="F27" s="924">
        <v>0</v>
      </c>
      <c r="G27" s="924">
        <v>0</v>
      </c>
      <c r="H27" s="926" t="s">
        <v>2193</v>
      </c>
      <c r="I27" s="926" t="s">
        <v>2193</v>
      </c>
      <c r="J27" s="924">
        <v>0</v>
      </c>
      <c r="K27" s="86"/>
      <c r="L27" s="1147"/>
    </row>
    <row r="28" spans="1:12" x14ac:dyDescent="0.25">
      <c r="A28" s="547">
        <f t="shared" si="1"/>
        <v>107</v>
      </c>
      <c r="B28" s="501"/>
      <c r="C28" s="1148"/>
      <c r="D28" s="1145"/>
      <c r="E28" s="1149"/>
      <c r="F28" s="924">
        <v>0</v>
      </c>
      <c r="G28" s="924">
        <v>0</v>
      </c>
      <c r="H28" s="926" t="s">
        <v>2193</v>
      </c>
      <c r="I28" s="926" t="s">
        <v>2193</v>
      </c>
      <c r="J28" s="924">
        <v>0</v>
      </c>
      <c r="K28" s="86"/>
      <c r="L28" s="1147"/>
    </row>
    <row r="29" spans="1:12" x14ac:dyDescent="0.25">
      <c r="A29" s="547">
        <f t="shared" si="1"/>
        <v>108</v>
      </c>
      <c r="B29" s="501"/>
      <c r="C29" s="1148"/>
      <c r="D29" s="1145"/>
      <c r="E29" s="1149"/>
      <c r="F29" s="924">
        <v>0</v>
      </c>
      <c r="G29" s="924">
        <v>0</v>
      </c>
      <c r="H29" s="926" t="s">
        <v>2193</v>
      </c>
      <c r="I29" s="926" t="s">
        <v>2193</v>
      </c>
      <c r="J29" s="924">
        <v>0</v>
      </c>
      <c r="K29" s="86"/>
      <c r="L29" s="1147"/>
    </row>
    <row r="30" spans="1:12" x14ac:dyDescent="0.25">
      <c r="A30" s="547">
        <f t="shared" si="1"/>
        <v>109</v>
      </c>
      <c r="B30" s="501"/>
      <c r="C30" s="1148"/>
      <c r="D30" s="1145"/>
      <c r="E30" s="1149"/>
      <c r="F30" s="924">
        <v>0</v>
      </c>
      <c r="G30" s="924">
        <v>0</v>
      </c>
      <c r="H30" s="926" t="s">
        <v>2193</v>
      </c>
      <c r="I30" s="926" t="s">
        <v>2193</v>
      </c>
      <c r="J30" s="924">
        <v>0</v>
      </c>
      <c r="K30" s="86"/>
      <c r="L30" s="1147"/>
    </row>
    <row r="31" spans="1:12" x14ac:dyDescent="0.25">
      <c r="A31" s="547">
        <f t="shared" si="1"/>
        <v>110</v>
      </c>
      <c r="B31" s="1150"/>
      <c r="C31" s="1151"/>
      <c r="D31" s="1152"/>
      <c r="E31" s="1149"/>
      <c r="F31" s="924">
        <v>0</v>
      </c>
      <c r="G31" s="924">
        <v>0</v>
      </c>
      <c r="H31" s="926" t="s">
        <v>2193</v>
      </c>
      <c r="I31" s="926" t="s">
        <v>2193</v>
      </c>
      <c r="J31" s="924">
        <v>0</v>
      </c>
      <c r="K31" s="86"/>
      <c r="L31" s="1147"/>
    </row>
    <row r="32" spans="1:12" ht="15" x14ac:dyDescent="0.4">
      <c r="A32" s="547">
        <f t="shared" si="1"/>
        <v>111</v>
      </c>
      <c r="B32" s="503" t="s">
        <v>510</v>
      </c>
      <c r="C32" s="86"/>
      <c r="D32" s="86"/>
      <c r="E32" s="86"/>
      <c r="F32" s="924">
        <v>0</v>
      </c>
      <c r="G32" s="924">
        <v>0</v>
      </c>
      <c r="H32" s="926" t="s">
        <v>2193</v>
      </c>
      <c r="I32" s="926" t="s">
        <v>2193</v>
      </c>
      <c r="J32" s="925">
        <v>0</v>
      </c>
      <c r="K32" s="86"/>
    </row>
    <row r="33" spans="1:10" x14ac:dyDescent="0.25">
      <c r="A33" s="547">
        <f t="shared" si="1"/>
        <v>112</v>
      </c>
      <c r="D33" s="61" t="s">
        <v>2602</v>
      </c>
      <c r="E33" s="924">
        <v>0</v>
      </c>
      <c r="I33" s="61" t="s">
        <v>2560</v>
      </c>
      <c r="J33" s="924">
        <v>0</v>
      </c>
    </row>
    <row r="35" spans="1:10" x14ac:dyDescent="0.25">
      <c r="B35" s="1" t="s">
        <v>2603</v>
      </c>
    </row>
    <row r="36" spans="1:10" x14ac:dyDescent="0.25">
      <c r="B36" s="76" t="s">
        <v>363</v>
      </c>
      <c r="C36" s="76" t="s">
        <v>347</v>
      </c>
      <c r="D36" s="76" t="s">
        <v>348</v>
      </c>
      <c r="E36" s="76" t="s">
        <v>349</v>
      </c>
      <c r="F36" s="76" t="s">
        <v>350</v>
      </c>
    </row>
    <row r="37" spans="1:10" x14ac:dyDescent="0.25">
      <c r="A37" s="13"/>
      <c r="B37" s="94" t="s">
        <v>2604</v>
      </c>
      <c r="C37" s="94" t="s">
        <v>33</v>
      </c>
      <c r="D37" s="94" t="s">
        <v>33</v>
      </c>
      <c r="E37" s="94" t="s">
        <v>33</v>
      </c>
    </row>
    <row r="38" spans="1:10" ht="13.8" thickBot="1" x14ac:dyDescent="0.3"/>
    <row r="39" spans="1:10" ht="55.05" customHeight="1" thickBot="1" x14ac:dyDescent="0.3">
      <c r="A39" s="44" t="s">
        <v>332</v>
      </c>
      <c r="B39" s="1139" t="s">
        <v>27</v>
      </c>
      <c r="C39" s="1153" t="s">
        <v>2597</v>
      </c>
      <c r="D39" s="1154" t="s">
        <v>2605</v>
      </c>
      <c r="E39" s="1131" t="s">
        <v>2606</v>
      </c>
      <c r="F39" s="1171" t="s">
        <v>169</v>
      </c>
      <c r="G39" s="1172"/>
    </row>
    <row r="40" spans="1:10" x14ac:dyDescent="0.25">
      <c r="A40" s="547">
        <v>201</v>
      </c>
      <c r="B40" s="501"/>
      <c r="C40" s="1155"/>
      <c r="D40" s="513"/>
      <c r="E40" s="129"/>
      <c r="F40" s="1156"/>
      <c r="G40" s="86"/>
    </row>
    <row r="41" spans="1:10" x14ac:dyDescent="0.25">
      <c r="A41" s="547">
        <f>A40+1</f>
        <v>202</v>
      </c>
      <c r="B41" s="501"/>
      <c r="C41" s="1155"/>
      <c r="D41" s="513"/>
      <c r="E41" s="129"/>
      <c r="F41" s="1150"/>
      <c r="G41" s="86"/>
    </row>
    <row r="42" spans="1:10" x14ac:dyDescent="0.25">
      <c r="A42" s="547">
        <f t="shared" ref="A42:A50" si="2">A41+1</f>
        <v>203</v>
      </c>
      <c r="B42" s="501"/>
      <c r="C42" s="1155"/>
      <c r="D42" s="513"/>
      <c r="E42" s="129"/>
      <c r="F42" s="1150"/>
      <c r="G42" s="86"/>
    </row>
    <row r="43" spans="1:10" x14ac:dyDescent="0.25">
      <c r="A43" s="547">
        <f t="shared" si="2"/>
        <v>204</v>
      </c>
      <c r="B43" s="501"/>
      <c r="C43" s="1155"/>
      <c r="D43" s="513"/>
      <c r="E43" s="129"/>
      <c r="F43" s="1150"/>
      <c r="G43" s="86"/>
    </row>
    <row r="44" spans="1:10" x14ac:dyDescent="0.25">
      <c r="A44" s="547">
        <f t="shared" si="2"/>
        <v>205</v>
      </c>
      <c r="B44" s="501"/>
      <c r="C44" s="1155"/>
      <c r="D44" s="1155"/>
      <c r="E44" s="129"/>
      <c r="F44" s="1150"/>
      <c r="G44" s="86"/>
    </row>
    <row r="45" spans="1:10" x14ac:dyDescent="0.25">
      <c r="A45" s="547">
        <f t="shared" si="2"/>
        <v>206</v>
      </c>
      <c r="B45" s="501"/>
      <c r="C45" s="1155"/>
      <c r="D45" s="1155"/>
      <c r="E45" s="129"/>
      <c r="F45" s="1150"/>
      <c r="G45" s="86"/>
    </row>
    <row r="46" spans="1:10" x14ac:dyDescent="0.25">
      <c r="A46" s="547">
        <f t="shared" si="2"/>
        <v>207</v>
      </c>
      <c r="B46" s="501"/>
      <c r="C46" s="1155"/>
      <c r="D46" s="1155"/>
      <c r="E46" s="129"/>
      <c r="F46" s="1150"/>
      <c r="G46" s="86"/>
    </row>
    <row r="47" spans="1:10" x14ac:dyDescent="0.25">
      <c r="A47" s="547">
        <f t="shared" si="2"/>
        <v>208</v>
      </c>
      <c r="B47" s="501"/>
      <c r="C47" s="1155"/>
      <c r="D47" s="1155"/>
      <c r="E47" s="129"/>
      <c r="F47" s="1150"/>
      <c r="G47" s="86"/>
    </row>
    <row r="48" spans="1:10" x14ac:dyDescent="0.25">
      <c r="A48" s="547">
        <f t="shared" si="2"/>
        <v>209</v>
      </c>
      <c r="B48" s="501"/>
      <c r="C48" s="1155"/>
      <c r="D48" s="1155"/>
      <c r="E48" s="129"/>
      <c r="F48" s="1150"/>
      <c r="G48" s="86"/>
    </row>
    <row r="49" spans="1:12" x14ac:dyDescent="0.25">
      <c r="A49" s="547">
        <f t="shared" si="2"/>
        <v>210</v>
      </c>
      <c r="B49" s="1150"/>
      <c r="C49" s="1155"/>
      <c r="D49" s="1155"/>
      <c r="E49" s="129"/>
      <c r="F49" s="1150"/>
      <c r="G49" s="86"/>
    </row>
    <row r="50" spans="1:12" x14ac:dyDescent="0.25">
      <c r="A50" s="547">
        <f t="shared" si="2"/>
        <v>211</v>
      </c>
      <c r="B50" s="503" t="s">
        <v>510</v>
      </c>
      <c r="C50" s="86"/>
      <c r="D50" s="86"/>
      <c r="E50" s="86"/>
      <c r="F50" s="86"/>
      <c r="G50" s="86"/>
    </row>
    <row r="52" spans="1:12" x14ac:dyDescent="0.25">
      <c r="B52" s="1" t="s">
        <v>2607</v>
      </c>
    </row>
    <row r="53" spans="1:12" x14ac:dyDescent="0.25">
      <c r="B53" s="1"/>
    </row>
    <row r="54" spans="1:12" x14ac:dyDescent="0.25">
      <c r="B54" s="76" t="s">
        <v>363</v>
      </c>
      <c r="C54" s="76" t="s">
        <v>347</v>
      </c>
      <c r="D54" s="76" t="s">
        <v>348</v>
      </c>
      <c r="E54" s="76" t="s">
        <v>349</v>
      </c>
      <c r="F54" s="76" t="s">
        <v>350</v>
      </c>
      <c r="G54" s="76" t="s">
        <v>351</v>
      </c>
    </row>
    <row r="55" spans="1:12" x14ac:dyDescent="0.25">
      <c r="B55" s="94" t="s">
        <v>33</v>
      </c>
      <c r="C55" s="94" t="s">
        <v>33</v>
      </c>
      <c r="D55" s="94" t="s">
        <v>33</v>
      </c>
      <c r="E55" s="94" t="s">
        <v>33</v>
      </c>
      <c r="F55" s="94" t="s">
        <v>33</v>
      </c>
      <c r="G55" s="94" t="s">
        <v>33</v>
      </c>
    </row>
    <row r="56" spans="1:12" ht="13.8" thickBot="1" x14ac:dyDescent="0.3"/>
    <row r="57" spans="1:12" ht="40.200000000000003" thickBot="1" x14ac:dyDescent="0.3">
      <c r="A57" s="44" t="s">
        <v>332</v>
      </c>
      <c r="B57" s="1157" t="s">
        <v>27</v>
      </c>
      <c r="C57" s="1158" t="s">
        <v>2608</v>
      </c>
      <c r="D57" s="1154" t="s">
        <v>2609</v>
      </c>
      <c r="E57" s="1154" t="s">
        <v>2605</v>
      </c>
      <c r="F57" s="1154" t="s">
        <v>2610</v>
      </c>
      <c r="G57" s="1154" t="s">
        <v>2611</v>
      </c>
      <c r="H57" s="1173" t="s">
        <v>169</v>
      </c>
      <c r="I57" s="1174"/>
    </row>
    <row r="58" spans="1:12" x14ac:dyDescent="0.25">
      <c r="A58" s="547">
        <v>301</v>
      </c>
      <c r="B58" s="1159"/>
      <c r="C58" s="1114"/>
      <c r="D58" s="92"/>
      <c r="E58" s="92"/>
      <c r="F58" s="670"/>
      <c r="G58" s="92"/>
      <c r="H58" s="501"/>
      <c r="I58" s="86"/>
      <c r="J58" s="86"/>
      <c r="K58" s="86"/>
      <c r="L58" s="86"/>
    </row>
    <row r="59" spans="1:12" x14ac:dyDescent="0.25">
      <c r="A59" s="547">
        <f>A58+1</f>
        <v>302</v>
      </c>
      <c r="B59" s="1159"/>
      <c r="C59" s="1114"/>
      <c r="D59" s="92"/>
      <c r="E59" s="92"/>
      <c r="F59" s="670"/>
      <c r="G59" s="92"/>
      <c r="H59" s="501"/>
      <c r="I59" s="86"/>
      <c r="J59" s="86"/>
      <c r="K59" s="86"/>
      <c r="L59" s="86"/>
    </row>
    <row r="60" spans="1:12" x14ac:dyDescent="0.25">
      <c r="A60" s="547">
        <f t="shared" ref="A60:A69" si="3">A59+1</f>
        <v>303</v>
      </c>
      <c r="B60" s="1159"/>
      <c r="C60" s="1114"/>
      <c r="D60" s="92"/>
      <c r="E60" s="92"/>
      <c r="F60" s="670"/>
      <c r="G60" s="92"/>
      <c r="H60" s="501"/>
      <c r="I60" s="86"/>
      <c r="J60" s="86"/>
      <c r="K60" s="86"/>
      <c r="L60" s="86"/>
    </row>
    <row r="61" spans="1:12" x14ac:dyDescent="0.25">
      <c r="A61" s="547">
        <f t="shared" si="3"/>
        <v>304</v>
      </c>
      <c r="B61" s="501"/>
      <c r="C61" s="1114"/>
      <c r="D61" s="92"/>
      <c r="E61" s="92"/>
      <c r="F61" s="670"/>
      <c r="G61" s="92"/>
      <c r="H61" s="501"/>
      <c r="I61" s="86"/>
      <c r="J61" s="86"/>
      <c r="K61" s="86"/>
      <c r="L61" s="86"/>
    </row>
    <row r="62" spans="1:12" x14ac:dyDescent="0.25">
      <c r="A62" s="547">
        <f t="shared" si="3"/>
        <v>305</v>
      </c>
      <c r="B62" s="501"/>
      <c r="C62" s="1114"/>
      <c r="D62" s="92"/>
      <c r="E62" s="92"/>
      <c r="F62" s="670"/>
      <c r="G62" s="92"/>
      <c r="H62" s="501"/>
      <c r="I62" s="86"/>
      <c r="J62" s="86"/>
      <c r="K62" s="86"/>
      <c r="L62" s="86"/>
    </row>
    <row r="63" spans="1:12" x14ac:dyDescent="0.25">
      <c r="A63" s="547">
        <f t="shared" si="3"/>
        <v>306</v>
      </c>
      <c r="B63" s="501"/>
      <c r="C63" s="1114"/>
      <c r="D63" s="92"/>
      <c r="E63" s="92"/>
      <c r="F63" s="670"/>
      <c r="G63" s="92"/>
      <c r="H63" s="501"/>
      <c r="I63" s="86"/>
      <c r="J63" s="86"/>
      <c r="K63" s="86"/>
      <c r="L63" s="86"/>
    </row>
    <row r="64" spans="1:12" x14ac:dyDescent="0.25">
      <c r="A64" s="547">
        <f t="shared" si="3"/>
        <v>307</v>
      </c>
      <c r="B64" s="501"/>
      <c r="C64" s="1114"/>
      <c r="D64" s="92"/>
      <c r="E64" s="92"/>
      <c r="F64" s="670"/>
      <c r="G64" s="92"/>
      <c r="H64" s="501"/>
      <c r="I64" s="86"/>
      <c r="J64" s="86"/>
      <c r="K64" s="86"/>
      <c r="L64" s="86"/>
    </row>
    <row r="65" spans="1:12" x14ac:dyDescent="0.25">
      <c r="A65" s="547">
        <f t="shared" si="3"/>
        <v>308</v>
      </c>
      <c r="B65" s="86"/>
      <c r="C65" s="1114"/>
      <c r="D65" s="92"/>
      <c r="E65" s="92"/>
      <c r="F65" s="86"/>
      <c r="G65" s="92"/>
      <c r="H65" s="351"/>
      <c r="I65" s="86"/>
      <c r="J65" s="86"/>
      <c r="K65" s="86"/>
      <c r="L65" s="86"/>
    </row>
    <row r="66" spans="1:12" x14ac:dyDescent="0.25">
      <c r="A66" s="547">
        <f t="shared" si="3"/>
        <v>309</v>
      </c>
      <c r="B66" s="86"/>
      <c r="C66" s="1114"/>
      <c r="D66" s="92"/>
      <c r="E66" s="92"/>
      <c r="F66" s="86"/>
      <c r="G66" s="92"/>
      <c r="H66" s="351"/>
      <c r="I66" s="86"/>
      <c r="J66" s="86"/>
      <c r="K66" s="86"/>
      <c r="L66" s="86"/>
    </row>
    <row r="67" spans="1:12" x14ac:dyDescent="0.25">
      <c r="A67" s="547">
        <f t="shared" si="3"/>
        <v>310</v>
      </c>
      <c r="B67" s="86"/>
      <c r="C67" s="1114"/>
      <c r="D67" s="92"/>
      <c r="E67" s="92"/>
      <c r="F67" s="86"/>
      <c r="G67" s="92"/>
      <c r="H67" s="351"/>
      <c r="I67" s="86"/>
      <c r="J67" s="86"/>
      <c r="K67" s="86"/>
      <c r="L67" s="86"/>
    </row>
    <row r="68" spans="1:12" x14ac:dyDescent="0.25">
      <c r="A68" s="547">
        <f t="shared" si="3"/>
        <v>311</v>
      </c>
      <c r="B68" s="503" t="s">
        <v>510</v>
      </c>
      <c r="C68" s="1114"/>
      <c r="D68" s="92"/>
      <c r="E68" s="92"/>
      <c r="F68" s="86"/>
      <c r="G68" s="86"/>
      <c r="H68" s="354"/>
      <c r="I68" s="86"/>
      <c r="J68" s="86"/>
      <c r="K68" s="86"/>
      <c r="L68" s="86"/>
    </row>
    <row r="69" spans="1:12" x14ac:dyDescent="0.25">
      <c r="A69" s="547">
        <f t="shared" si="3"/>
        <v>312</v>
      </c>
      <c r="D69" s="61" t="s">
        <v>2560</v>
      </c>
      <c r="E69" s="924">
        <v>0</v>
      </c>
      <c r="G69" s="924">
        <v>0</v>
      </c>
    </row>
    <row r="72" spans="1:12" x14ac:dyDescent="0.25">
      <c r="B72" s="1"/>
    </row>
    <row r="73" spans="1:12" x14ac:dyDescent="0.25">
      <c r="B73" s="443"/>
    </row>
    <row r="74" spans="1:12" x14ac:dyDescent="0.25">
      <c r="B74" s="443"/>
    </row>
    <row r="76" spans="1:12" x14ac:dyDescent="0.25">
      <c r="B76" s="445"/>
    </row>
  </sheetData>
  <mergeCells count="2">
    <mergeCell ref="F39:G39"/>
    <mergeCell ref="H57:I57"/>
  </mergeCells>
  <pageMargins left="0.7" right="0.7" top="0.75" bottom="0.75" header="0.3" footer="0.3"/>
  <pageSetup scale="70" orientation="landscape" r:id="rId1"/>
  <headerFooter>
    <oddHeader>&amp;CSchedule 5 ROR-4
Return and Capitalization</oddHeader>
    <oddFooter>&amp;R5-ROR-4</oddFooter>
  </headerFooter>
  <rowBreaks count="1" manualBreakCount="1">
    <brk id="5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34"/>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64" t="s">
        <v>1195</v>
      </c>
      <c r="B1" s="202"/>
      <c r="C1" s="202"/>
      <c r="D1" s="202"/>
      <c r="E1" s="202"/>
      <c r="F1" s="202"/>
      <c r="G1" s="202"/>
      <c r="H1" s="202"/>
      <c r="I1" s="453" t="s">
        <v>17</v>
      </c>
      <c r="J1" s="365"/>
      <c r="K1" s="202"/>
      <c r="L1" s="202"/>
    </row>
    <row r="2" spans="1:13" x14ac:dyDescent="0.25">
      <c r="A2" s="364"/>
      <c r="B2" s="202"/>
      <c r="C2" s="202"/>
      <c r="D2" s="202"/>
      <c r="E2" s="202"/>
      <c r="F2" s="202"/>
      <c r="G2" s="202"/>
      <c r="H2" s="202"/>
      <c r="I2" s="202"/>
      <c r="J2" s="202"/>
      <c r="K2" s="202"/>
      <c r="L2" s="202"/>
    </row>
    <row r="3" spans="1:13" x14ac:dyDescent="0.25">
      <c r="A3" s="364"/>
      <c r="B3" s="364" t="s">
        <v>323</v>
      </c>
      <c r="C3" s="202"/>
      <c r="D3" s="202"/>
      <c r="E3" s="202"/>
      <c r="F3" s="202"/>
      <c r="G3" s="202"/>
      <c r="H3" s="202"/>
      <c r="I3" s="202"/>
      <c r="J3" s="202"/>
      <c r="K3" s="202"/>
      <c r="L3" s="202"/>
    </row>
    <row r="4" spans="1:13" x14ac:dyDescent="0.25">
      <c r="A4" s="364"/>
      <c r="B4" s="364"/>
      <c r="C4" s="202"/>
      <c r="D4" s="202"/>
      <c r="E4" s="202"/>
      <c r="F4" s="202"/>
      <c r="G4" s="202"/>
      <c r="H4" s="202"/>
      <c r="I4" s="202"/>
      <c r="J4" s="202"/>
      <c r="K4" s="202"/>
      <c r="L4" s="202"/>
    </row>
    <row r="5" spans="1:13" x14ac:dyDescent="0.25">
      <c r="A5" s="364"/>
      <c r="B5" s="443" t="s">
        <v>1542</v>
      </c>
      <c r="C5" s="202"/>
      <c r="D5" s="202"/>
      <c r="E5" s="202"/>
      <c r="F5" s="202"/>
      <c r="G5" s="202"/>
      <c r="H5" s="443"/>
      <c r="I5" s="850" t="s">
        <v>1736</v>
      </c>
      <c r="J5" s="216" t="s">
        <v>1388</v>
      </c>
      <c r="K5" s="202"/>
      <c r="L5" s="202"/>
    </row>
    <row r="6" spans="1:13" x14ac:dyDescent="0.25">
      <c r="A6" s="364"/>
      <c r="B6" s="443"/>
      <c r="C6" s="202"/>
      <c r="D6" s="202"/>
      <c r="E6" s="202"/>
      <c r="F6" s="202"/>
      <c r="G6" s="202"/>
      <c r="H6" s="202"/>
      <c r="I6" s="202"/>
      <c r="J6" s="202"/>
      <c r="K6" s="202"/>
      <c r="L6" s="202"/>
    </row>
    <row r="7" spans="1:13" x14ac:dyDescent="0.25">
      <c r="A7" s="364"/>
      <c r="B7" s="76" t="s">
        <v>363</v>
      </c>
      <c r="C7" s="76" t="s">
        <v>347</v>
      </c>
      <c r="D7" s="76" t="s">
        <v>348</v>
      </c>
      <c r="E7" s="76" t="s">
        <v>349</v>
      </c>
      <c r="F7" s="76" t="s">
        <v>350</v>
      </c>
      <c r="G7" s="76" t="s">
        <v>351</v>
      </c>
      <c r="H7" s="76" t="s">
        <v>352</v>
      </c>
      <c r="I7" s="76" t="s">
        <v>541</v>
      </c>
      <c r="J7" s="76" t="s">
        <v>955</v>
      </c>
      <c r="K7" s="76" t="s">
        <v>967</v>
      </c>
      <c r="L7" s="76" t="s">
        <v>970</v>
      </c>
      <c r="M7" s="76" t="s">
        <v>988</v>
      </c>
    </row>
    <row r="8" spans="1:13" x14ac:dyDescent="0.25">
      <c r="A8" s="202"/>
      <c r="B8" s="420"/>
      <c r="C8" s="202"/>
      <c r="D8" s="202"/>
      <c r="E8" s="202"/>
      <c r="F8" s="202"/>
      <c r="G8" s="202"/>
      <c r="H8" s="202"/>
      <c r="I8" s="202"/>
      <c r="J8" s="202"/>
      <c r="K8" s="202"/>
      <c r="M8" s="215" t="s">
        <v>1231</v>
      </c>
    </row>
    <row r="9" spans="1:13" x14ac:dyDescent="0.25">
      <c r="A9" s="202"/>
      <c r="B9" s="94"/>
      <c r="C9" s="76"/>
      <c r="D9" s="76"/>
      <c r="E9" s="202"/>
      <c r="F9" s="202"/>
      <c r="G9" s="202"/>
      <c r="H9" s="202"/>
      <c r="I9" s="202"/>
      <c r="J9" s="202"/>
      <c r="K9" s="202"/>
      <c r="L9" s="202"/>
    </row>
    <row r="10" spans="1:13" x14ac:dyDescent="0.25">
      <c r="A10" s="44" t="s">
        <v>332</v>
      </c>
      <c r="B10" s="104" t="s">
        <v>1772</v>
      </c>
      <c r="C10" s="76">
        <v>350.1</v>
      </c>
      <c r="D10" s="76">
        <v>350.2</v>
      </c>
      <c r="E10" s="76">
        <v>352</v>
      </c>
      <c r="F10" s="76">
        <v>353</v>
      </c>
      <c r="G10" s="76">
        <v>354</v>
      </c>
      <c r="H10" s="76">
        <v>355</v>
      </c>
      <c r="I10" s="76">
        <v>356</v>
      </c>
      <c r="J10" s="76">
        <v>357</v>
      </c>
      <c r="K10" s="76">
        <v>358</v>
      </c>
      <c r="L10" s="76">
        <v>359</v>
      </c>
      <c r="M10" s="3" t="s">
        <v>197</v>
      </c>
    </row>
    <row r="11" spans="1:13" x14ac:dyDescent="0.25">
      <c r="A11" s="473">
        <v>1</v>
      </c>
      <c r="B11" s="934" t="s">
        <v>1388</v>
      </c>
      <c r="C11" s="932">
        <v>0</v>
      </c>
      <c r="D11" s="932">
        <v>0</v>
      </c>
      <c r="E11" s="932">
        <v>0</v>
      </c>
      <c r="F11" s="932">
        <v>0</v>
      </c>
      <c r="G11" s="932">
        <v>0</v>
      </c>
      <c r="H11" s="932">
        <v>0</v>
      </c>
      <c r="I11" s="932">
        <v>0</v>
      </c>
      <c r="J11" s="932">
        <v>0</v>
      </c>
      <c r="K11" s="932">
        <v>0</v>
      </c>
      <c r="L11" s="932">
        <v>0</v>
      </c>
      <c r="M11" s="924">
        <v>0</v>
      </c>
    </row>
    <row r="12" spans="1:13" x14ac:dyDescent="0.25">
      <c r="A12" s="473">
        <f>A11+1</f>
        <v>2</v>
      </c>
      <c r="B12" s="934" t="s">
        <v>1388</v>
      </c>
      <c r="C12" s="924">
        <v>0</v>
      </c>
      <c r="D12" s="924">
        <v>0</v>
      </c>
      <c r="E12" s="924">
        <v>0</v>
      </c>
      <c r="F12" s="924">
        <v>0</v>
      </c>
      <c r="G12" s="924">
        <v>0</v>
      </c>
      <c r="H12" s="924">
        <v>0</v>
      </c>
      <c r="I12" s="924">
        <v>0</v>
      </c>
      <c r="J12" s="924">
        <v>0</v>
      </c>
      <c r="K12" s="924">
        <v>0</v>
      </c>
      <c r="L12" s="924">
        <v>0</v>
      </c>
      <c r="M12" s="924">
        <v>0</v>
      </c>
    </row>
    <row r="13" spans="1:13" x14ac:dyDescent="0.25">
      <c r="A13" s="473">
        <f t="shared" ref="A13:A24" si="0">A12+1</f>
        <v>3</v>
      </c>
      <c r="B13" s="934" t="s">
        <v>1388</v>
      </c>
      <c r="C13" s="924">
        <v>0</v>
      </c>
      <c r="D13" s="924">
        <v>0</v>
      </c>
      <c r="E13" s="924">
        <v>0</v>
      </c>
      <c r="F13" s="924">
        <v>0</v>
      </c>
      <c r="G13" s="924">
        <v>0</v>
      </c>
      <c r="H13" s="924">
        <v>0</v>
      </c>
      <c r="I13" s="924">
        <v>0</v>
      </c>
      <c r="J13" s="924">
        <v>0</v>
      </c>
      <c r="K13" s="924">
        <v>0</v>
      </c>
      <c r="L13" s="924">
        <v>0</v>
      </c>
      <c r="M13" s="924">
        <v>0</v>
      </c>
    </row>
    <row r="14" spans="1:13" x14ac:dyDescent="0.25">
      <c r="A14" s="473">
        <f t="shared" si="0"/>
        <v>4</v>
      </c>
      <c r="B14" s="934" t="s">
        <v>1388</v>
      </c>
      <c r="C14" s="924">
        <v>0</v>
      </c>
      <c r="D14" s="924">
        <v>0</v>
      </c>
      <c r="E14" s="924">
        <v>0</v>
      </c>
      <c r="F14" s="924">
        <v>0</v>
      </c>
      <c r="G14" s="924">
        <v>0</v>
      </c>
      <c r="H14" s="924">
        <v>0</v>
      </c>
      <c r="I14" s="924">
        <v>0</v>
      </c>
      <c r="J14" s="924">
        <v>0</v>
      </c>
      <c r="K14" s="924">
        <v>0</v>
      </c>
      <c r="L14" s="924">
        <v>0</v>
      </c>
      <c r="M14" s="924">
        <v>0</v>
      </c>
    </row>
    <row r="15" spans="1:13" x14ac:dyDescent="0.25">
      <c r="A15" s="473">
        <f t="shared" si="0"/>
        <v>5</v>
      </c>
      <c r="B15" s="934" t="s">
        <v>1388</v>
      </c>
      <c r="C15" s="924">
        <v>0</v>
      </c>
      <c r="D15" s="924">
        <v>0</v>
      </c>
      <c r="E15" s="924">
        <v>0</v>
      </c>
      <c r="F15" s="924">
        <v>0</v>
      </c>
      <c r="G15" s="924">
        <v>0</v>
      </c>
      <c r="H15" s="924">
        <v>0</v>
      </c>
      <c r="I15" s="924">
        <v>0</v>
      </c>
      <c r="J15" s="924">
        <v>0</v>
      </c>
      <c r="K15" s="924">
        <v>0</v>
      </c>
      <c r="L15" s="924">
        <v>0</v>
      </c>
      <c r="M15" s="924">
        <v>0</v>
      </c>
    </row>
    <row r="16" spans="1:13" x14ac:dyDescent="0.25">
      <c r="A16" s="473">
        <f t="shared" si="0"/>
        <v>6</v>
      </c>
      <c r="B16" s="934" t="s">
        <v>1388</v>
      </c>
      <c r="C16" s="924">
        <v>0</v>
      </c>
      <c r="D16" s="924">
        <v>0</v>
      </c>
      <c r="E16" s="924">
        <v>0</v>
      </c>
      <c r="F16" s="924">
        <v>0</v>
      </c>
      <c r="G16" s="924">
        <v>0</v>
      </c>
      <c r="H16" s="924">
        <v>0</v>
      </c>
      <c r="I16" s="924">
        <v>0</v>
      </c>
      <c r="J16" s="924">
        <v>0</v>
      </c>
      <c r="K16" s="924">
        <v>0</v>
      </c>
      <c r="L16" s="924">
        <v>0</v>
      </c>
      <c r="M16" s="924">
        <v>0</v>
      </c>
    </row>
    <row r="17" spans="1:15" x14ac:dyDescent="0.25">
      <c r="A17" s="473">
        <f t="shared" si="0"/>
        <v>7</v>
      </c>
      <c r="B17" s="934" t="s">
        <v>1388</v>
      </c>
      <c r="C17" s="924">
        <v>0</v>
      </c>
      <c r="D17" s="924">
        <v>0</v>
      </c>
      <c r="E17" s="924">
        <v>0</v>
      </c>
      <c r="F17" s="924">
        <v>0</v>
      </c>
      <c r="G17" s="924">
        <v>0</v>
      </c>
      <c r="H17" s="924">
        <v>0</v>
      </c>
      <c r="I17" s="924">
        <v>0</v>
      </c>
      <c r="J17" s="924">
        <v>0</v>
      </c>
      <c r="K17" s="924">
        <v>0</v>
      </c>
      <c r="L17" s="924">
        <v>0</v>
      </c>
      <c r="M17" s="924">
        <v>0</v>
      </c>
    </row>
    <row r="18" spans="1:15" x14ac:dyDescent="0.25">
      <c r="A18" s="473">
        <f t="shared" si="0"/>
        <v>8</v>
      </c>
      <c r="B18" s="934" t="s">
        <v>1388</v>
      </c>
      <c r="C18" s="924">
        <v>0</v>
      </c>
      <c r="D18" s="924">
        <v>0</v>
      </c>
      <c r="E18" s="924">
        <v>0</v>
      </c>
      <c r="F18" s="924">
        <v>0</v>
      </c>
      <c r="G18" s="924">
        <v>0</v>
      </c>
      <c r="H18" s="924">
        <v>0</v>
      </c>
      <c r="I18" s="924">
        <v>0</v>
      </c>
      <c r="J18" s="924">
        <v>0</v>
      </c>
      <c r="K18" s="924">
        <v>0</v>
      </c>
      <c r="L18" s="924">
        <v>0</v>
      </c>
      <c r="M18" s="924">
        <v>0</v>
      </c>
    </row>
    <row r="19" spans="1:15" x14ac:dyDescent="0.25">
      <c r="A19" s="473">
        <f t="shared" si="0"/>
        <v>9</v>
      </c>
      <c r="B19" s="934" t="s">
        <v>1388</v>
      </c>
      <c r="C19" s="924">
        <v>0</v>
      </c>
      <c r="D19" s="924">
        <v>0</v>
      </c>
      <c r="E19" s="924">
        <v>0</v>
      </c>
      <c r="F19" s="924">
        <v>0</v>
      </c>
      <c r="G19" s="924">
        <v>0</v>
      </c>
      <c r="H19" s="924">
        <v>0</v>
      </c>
      <c r="I19" s="924">
        <v>0</v>
      </c>
      <c r="J19" s="924">
        <v>0</v>
      </c>
      <c r="K19" s="924">
        <v>0</v>
      </c>
      <c r="L19" s="924">
        <v>0</v>
      </c>
      <c r="M19" s="924">
        <v>0</v>
      </c>
    </row>
    <row r="20" spans="1:15" x14ac:dyDescent="0.25">
      <c r="A20" s="473">
        <f t="shared" si="0"/>
        <v>10</v>
      </c>
      <c r="B20" s="934" t="s">
        <v>1388</v>
      </c>
      <c r="C20" s="924">
        <v>0</v>
      </c>
      <c r="D20" s="924">
        <v>0</v>
      </c>
      <c r="E20" s="924">
        <v>0</v>
      </c>
      <c r="F20" s="924">
        <v>0</v>
      </c>
      <c r="G20" s="924">
        <v>0</v>
      </c>
      <c r="H20" s="924">
        <v>0</v>
      </c>
      <c r="I20" s="924">
        <v>0</v>
      </c>
      <c r="J20" s="924">
        <v>0</v>
      </c>
      <c r="K20" s="924">
        <v>0</v>
      </c>
      <c r="L20" s="924">
        <v>0</v>
      </c>
      <c r="M20" s="924">
        <v>0</v>
      </c>
    </row>
    <row r="21" spans="1:15" x14ac:dyDescent="0.25">
      <c r="A21" s="473">
        <f t="shared" si="0"/>
        <v>11</v>
      </c>
      <c r="B21" s="934" t="s">
        <v>1388</v>
      </c>
      <c r="C21" s="924">
        <v>0</v>
      </c>
      <c r="D21" s="924">
        <v>0</v>
      </c>
      <c r="E21" s="924">
        <v>0</v>
      </c>
      <c r="F21" s="924">
        <v>0</v>
      </c>
      <c r="G21" s="924">
        <v>0</v>
      </c>
      <c r="H21" s="924">
        <v>0</v>
      </c>
      <c r="I21" s="924">
        <v>0</v>
      </c>
      <c r="J21" s="924">
        <v>0</v>
      </c>
      <c r="K21" s="924">
        <v>0</v>
      </c>
      <c r="L21" s="924">
        <v>0</v>
      </c>
      <c r="M21" s="924">
        <v>0</v>
      </c>
    </row>
    <row r="22" spans="1:15" x14ac:dyDescent="0.25">
      <c r="A22" s="473">
        <f t="shared" si="0"/>
        <v>12</v>
      </c>
      <c r="B22" s="934" t="s">
        <v>1388</v>
      </c>
      <c r="C22" s="924">
        <v>0</v>
      </c>
      <c r="D22" s="924">
        <v>0</v>
      </c>
      <c r="E22" s="924">
        <v>0</v>
      </c>
      <c r="F22" s="924">
        <v>0</v>
      </c>
      <c r="G22" s="924">
        <v>0</v>
      </c>
      <c r="H22" s="924">
        <v>0</v>
      </c>
      <c r="I22" s="924">
        <v>0</v>
      </c>
      <c r="J22" s="924">
        <v>0</v>
      </c>
      <c r="K22" s="924">
        <v>0</v>
      </c>
      <c r="L22" s="924">
        <v>0</v>
      </c>
      <c r="M22" s="924">
        <v>0</v>
      </c>
    </row>
    <row r="23" spans="1:15" ht="15" x14ac:dyDescent="0.4">
      <c r="A23" s="473">
        <f t="shared" si="0"/>
        <v>13</v>
      </c>
      <c r="B23" s="934" t="s">
        <v>1388</v>
      </c>
      <c r="C23" s="933">
        <v>0</v>
      </c>
      <c r="D23" s="933">
        <v>0</v>
      </c>
      <c r="E23" s="925">
        <v>0</v>
      </c>
      <c r="F23" s="925">
        <v>0</v>
      </c>
      <c r="G23" s="925">
        <v>0</v>
      </c>
      <c r="H23" s="925">
        <v>0</v>
      </c>
      <c r="I23" s="925">
        <v>0</v>
      </c>
      <c r="J23" s="925">
        <v>0</v>
      </c>
      <c r="K23" s="925">
        <v>0</v>
      </c>
      <c r="L23" s="925">
        <v>0</v>
      </c>
      <c r="M23" s="925">
        <v>0</v>
      </c>
      <c r="O23" s="1"/>
    </row>
    <row r="24" spans="1:15" x14ac:dyDescent="0.25">
      <c r="A24" s="473">
        <f t="shared" si="0"/>
        <v>14</v>
      </c>
      <c r="B24" s="476" t="s">
        <v>1196</v>
      </c>
      <c r="C24" s="924">
        <v>0</v>
      </c>
      <c r="D24" s="924">
        <v>0</v>
      </c>
      <c r="E24" s="924">
        <v>0</v>
      </c>
      <c r="F24" s="924">
        <v>0</v>
      </c>
      <c r="G24" s="924">
        <v>0</v>
      </c>
      <c r="H24" s="924">
        <v>0</v>
      </c>
      <c r="I24" s="924">
        <v>0</v>
      </c>
      <c r="J24" s="924">
        <v>0</v>
      </c>
      <c r="K24" s="924">
        <v>0</v>
      </c>
      <c r="L24" s="924">
        <v>0</v>
      </c>
      <c r="M24" s="924">
        <v>0</v>
      </c>
    </row>
    <row r="25" spans="1:15" x14ac:dyDescent="0.25">
      <c r="A25" s="443"/>
      <c r="B25" s="443"/>
      <c r="C25" s="443"/>
      <c r="D25" s="443"/>
      <c r="E25" s="443"/>
      <c r="F25" s="443"/>
      <c r="G25" s="443"/>
      <c r="H25" s="443"/>
      <c r="I25" s="443"/>
      <c r="J25" s="443"/>
      <c r="K25" s="443"/>
      <c r="L25" s="443"/>
    </row>
    <row r="26" spans="1:15" x14ac:dyDescent="0.25">
      <c r="A26" s="443"/>
      <c r="B26" s="364" t="s">
        <v>324</v>
      </c>
      <c r="C26" s="443"/>
      <c r="D26" s="443"/>
      <c r="E26" s="443"/>
      <c r="F26" s="443"/>
      <c r="G26" s="443"/>
      <c r="H26" s="443"/>
      <c r="I26" s="443"/>
      <c r="J26" s="443"/>
      <c r="K26" s="443"/>
      <c r="L26" s="443"/>
    </row>
    <row r="27" spans="1:15" x14ac:dyDescent="0.25">
      <c r="A27" s="443"/>
      <c r="B27" s="364"/>
      <c r="C27" s="443"/>
      <c r="D27" s="443"/>
      <c r="E27" s="443"/>
      <c r="F27" s="443"/>
      <c r="G27" s="443"/>
      <c r="H27" s="443"/>
      <c r="I27" s="443"/>
      <c r="J27" s="443"/>
      <c r="K27" s="443"/>
      <c r="L27" s="443"/>
    </row>
    <row r="28" spans="1:15" x14ac:dyDescent="0.25">
      <c r="A28" s="443"/>
      <c r="B28" s="208" t="s">
        <v>1737</v>
      </c>
      <c r="C28" s="445"/>
      <c r="D28" s="445"/>
      <c r="E28" s="445"/>
      <c r="F28" s="445"/>
      <c r="G28" s="445"/>
      <c r="H28" s="445"/>
      <c r="I28" s="443"/>
      <c r="J28" s="443"/>
      <c r="K28" s="443"/>
      <c r="L28" s="443"/>
    </row>
    <row r="29" spans="1:15" x14ac:dyDescent="0.25">
      <c r="A29" s="443"/>
      <c r="B29" s="881"/>
      <c r="C29" s="445"/>
      <c r="D29" s="445"/>
      <c r="E29" s="445"/>
      <c r="F29" s="445"/>
      <c r="G29" s="445"/>
      <c r="H29" s="445"/>
      <c r="I29" s="443"/>
      <c r="J29" s="443"/>
      <c r="K29" s="443"/>
      <c r="L29" s="443"/>
    </row>
    <row r="30" spans="1:15" x14ac:dyDescent="0.25">
      <c r="A30" s="364"/>
      <c r="B30" s="76" t="s">
        <v>363</v>
      </c>
      <c r="C30" s="76" t="s">
        <v>347</v>
      </c>
      <c r="D30" s="76" t="s">
        <v>348</v>
      </c>
      <c r="E30" s="76" t="s">
        <v>349</v>
      </c>
      <c r="F30" s="76" t="s">
        <v>350</v>
      </c>
      <c r="G30" s="443"/>
      <c r="H30" s="443"/>
      <c r="I30" s="443"/>
      <c r="J30" s="443"/>
      <c r="K30" s="443"/>
      <c r="L30" s="443"/>
    </row>
    <row r="31" spans="1:15" x14ac:dyDescent="0.25">
      <c r="A31" s="202"/>
      <c r="B31" s="215"/>
      <c r="C31" s="202"/>
      <c r="D31" s="202"/>
      <c r="E31" s="202"/>
      <c r="F31" s="215" t="s">
        <v>1197</v>
      </c>
      <c r="G31" s="443"/>
      <c r="H31" s="443"/>
      <c r="K31" s="443"/>
      <c r="L31" s="443"/>
    </row>
    <row r="32" spans="1:15" x14ac:dyDescent="0.25">
      <c r="A32" s="202"/>
      <c r="B32" s="94"/>
      <c r="C32" s="76"/>
      <c r="D32" s="76"/>
      <c r="E32" s="202"/>
      <c r="F32" s="202"/>
      <c r="G32" s="443"/>
      <c r="H32" s="443"/>
      <c r="K32" s="443"/>
      <c r="L32" s="443"/>
    </row>
    <row r="33" spans="1:12" ht="12.75" customHeight="1" x14ac:dyDescent="0.25">
      <c r="A33" s="44" t="s">
        <v>332</v>
      </c>
      <c r="B33" s="104" t="s">
        <v>1772</v>
      </c>
      <c r="C33" s="326">
        <v>360</v>
      </c>
      <c r="D33" s="326">
        <v>361</v>
      </c>
      <c r="E33" s="326">
        <v>362</v>
      </c>
      <c r="F33" s="3" t="s">
        <v>197</v>
      </c>
      <c r="G33" s="443"/>
      <c r="H33" s="443"/>
      <c r="K33" s="443"/>
      <c r="L33" s="443"/>
    </row>
    <row r="34" spans="1:12" ht="12.75" customHeight="1" x14ac:dyDescent="0.25">
      <c r="A34" s="473">
        <f>A24+1</f>
        <v>15</v>
      </c>
      <c r="B34" s="934" t="s">
        <v>1388</v>
      </c>
      <c r="C34" s="932">
        <v>0</v>
      </c>
      <c r="D34" s="932">
        <v>0</v>
      </c>
      <c r="E34" s="932">
        <v>0</v>
      </c>
      <c r="F34" s="924">
        <v>0</v>
      </c>
      <c r="G34" s="443"/>
      <c r="H34" s="443"/>
      <c r="K34" s="443"/>
      <c r="L34" s="443"/>
    </row>
    <row r="35" spans="1:12" ht="12.75" customHeight="1" x14ac:dyDescent="0.4">
      <c r="A35" s="473">
        <f>A34+1</f>
        <v>16</v>
      </c>
      <c r="B35" s="934" t="s">
        <v>1388</v>
      </c>
      <c r="C35" s="933">
        <v>0</v>
      </c>
      <c r="D35" s="933">
        <v>0</v>
      </c>
      <c r="E35" s="933">
        <v>0</v>
      </c>
      <c r="F35" s="925">
        <v>0</v>
      </c>
      <c r="G35" s="443"/>
      <c r="H35" s="443"/>
      <c r="K35" s="443"/>
      <c r="L35" s="443"/>
    </row>
    <row r="36" spans="1:12" ht="12.75" customHeight="1" x14ac:dyDescent="0.25">
      <c r="A36" s="473">
        <f>A35+1</f>
        <v>17</v>
      </c>
      <c r="B36" s="476" t="s">
        <v>1198</v>
      </c>
      <c r="C36" s="924">
        <v>0</v>
      </c>
      <c r="D36" s="924">
        <v>0</v>
      </c>
      <c r="E36" s="924">
        <v>0</v>
      </c>
      <c r="F36" s="924">
        <v>0</v>
      </c>
      <c r="G36" s="443"/>
      <c r="H36" s="443"/>
      <c r="K36" s="443"/>
      <c r="L36" s="443"/>
    </row>
    <row r="37" spans="1:12" ht="12.75" customHeight="1" x14ac:dyDescent="0.25">
      <c r="A37" s="443"/>
      <c r="B37" s="443"/>
      <c r="C37" s="443"/>
      <c r="D37" s="443"/>
      <c r="E37" s="443"/>
      <c r="F37" s="443"/>
      <c r="G37" s="443"/>
      <c r="H37" s="443"/>
      <c r="K37" s="443"/>
      <c r="L37" s="443"/>
    </row>
    <row r="38" spans="1:12" x14ac:dyDescent="0.25">
      <c r="A38" s="443"/>
      <c r="B38" s="1" t="s">
        <v>1050</v>
      </c>
      <c r="C38" s="20"/>
      <c r="D38" s="20"/>
      <c r="E38" s="477"/>
      <c r="F38" s="478"/>
      <c r="G38" s="479"/>
      <c r="H38" s="443"/>
      <c r="K38" s="443"/>
      <c r="L38" s="443"/>
    </row>
    <row r="39" spans="1:12" x14ac:dyDescent="0.25">
      <c r="A39" s="443"/>
      <c r="B39" s="443" t="s">
        <v>1051</v>
      </c>
      <c r="C39" s="20"/>
      <c r="D39" s="20"/>
      <c r="E39" s="477"/>
      <c r="F39" s="478"/>
      <c r="G39" s="479"/>
      <c r="H39" s="443"/>
      <c r="K39" s="443"/>
      <c r="L39" s="443"/>
    </row>
    <row r="40" spans="1:12" x14ac:dyDescent="0.25">
      <c r="A40" s="443"/>
      <c r="B40" s="443"/>
      <c r="C40" s="20"/>
      <c r="D40" s="20"/>
      <c r="E40" s="477"/>
      <c r="F40" s="478"/>
      <c r="G40" s="479"/>
      <c r="H40" s="443"/>
      <c r="K40" s="443"/>
      <c r="L40" s="443"/>
    </row>
    <row r="41" spans="1:12" x14ac:dyDescent="0.25">
      <c r="A41" s="443"/>
      <c r="B41" s="443"/>
      <c r="C41" s="20"/>
      <c r="D41" s="366" t="s">
        <v>176</v>
      </c>
      <c r="E41" s="367" t="s">
        <v>180</v>
      </c>
      <c r="F41" s="478"/>
      <c r="G41" s="479"/>
      <c r="H41" s="443"/>
      <c r="K41" s="443"/>
      <c r="L41" s="443"/>
    </row>
    <row r="42" spans="1:12" x14ac:dyDescent="0.25">
      <c r="A42" s="473">
        <f>A36+1</f>
        <v>18</v>
      </c>
      <c r="B42" s="443"/>
      <c r="C42" s="477" t="s">
        <v>325</v>
      </c>
      <c r="D42" s="924">
        <v>0</v>
      </c>
      <c r="E42" s="480" t="str">
        <f>"Sum of Line "&amp;A24&amp;", "&amp;M7&amp;" and Line "&amp;A36&amp;", "&amp;F30&amp;""</f>
        <v>Sum of Line 14, Col 12 and Line 17, Col 5</v>
      </c>
      <c r="F42" s="443"/>
      <c r="G42" s="443"/>
      <c r="H42" s="443"/>
      <c r="K42" s="443"/>
      <c r="L42" s="443"/>
    </row>
    <row r="43" spans="1:12" x14ac:dyDescent="0.25">
      <c r="A43" s="473">
        <f>A42+1</f>
        <v>19</v>
      </c>
      <c r="B43" s="443"/>
      <c r="C43" s="477" t="s">
        <v>157</v>
      </c>
      <c r="D43" s="924">
        <v>0</v>
      </c>
      <c r="E43" s="480" t="str">
        <f>"Sum of Line "&amp;A23&amp;", "&amp;M7&amp;" and Line "&amp;A35&amp;", "&amp;F30&amp;""</f>
        <v>Sum of Line 13, Col 12 and Line 16, Col 5</v>
      </c>
      <c r="F43" s="443"/>
      <c r="G43" s="443"/>
      <c r="H43" s="443"/>
      <c r="I43" s="443"/>
      <c r="J43" s="443"/>
      <c r="K43" s="443"/>
      <c r="L43" s="443"/>
    </row>
    <row r="44" spans="1:12" x14ac:dyDescent="0.25">
      <c r="A44" s="443"/>
      <c r="B44" s="443"/>
      <c r="C44" s="20"/>
      <c r="D44" s="20"/>
      <c r="E44" s="481"/>
      <c r="F44" s="482"/>
      <c r="G44" s="483"/>
      <c r="H44" s="443"/>
      <c r="I44" s="443"/>
      <c r="J44" s="443"/>
      <c r="K44" s="443"/>
      <c r="L44" s="443"/>
    </row>
    <row r="45" spans="1:12" x14ac:dyDescent="0.25">
      <c r="A45" s="443"/>
      <c r="B45" s="1" t="s">
        <v>1738</v>
      </c>
      <c r="C45" s="443"/>
      <c r="D45" s="443"/>
      <c r="E45" s="481"/>
      <c r="F45" s="482"/>
      <c r="G45" s="483"/>
      <c r="H45" s="443"/>
      <c r="I45" s="443"/>
      <c r="J45" s="443"/>
      <c r="K45" s="443"/>
      <c r="L45" s="443"/>
    </row>
    <row r="46" spans="1:12" x14ac:dyDescent="0.25">
      <c r="A46" s="443"/>
      <c r="B46" s="447" t="s">
        <v>306</v>
      </c>
      <c r="C46" s="443"/>
      <c r="D46" s="443"/>
      <c r="E46" s="481"/>
      <c r="F46" s="482"/>
      <c r="G46" s="483"/>
      <c r="H46" s="443"/>
      <c r="I46" s="443"/>
      <c r="J46" s="443"/>
      <c r="K46" s="443"/>
      <c r="L46" s="443"/>
    </row>
    <row r="47" spans="1:12" ht="12.75" customHeight="1" x14ac:dyDescent="0.25">
      <c r="A47" s="443"/>
      <c r="B47" s="447"/>
      <c r="C47" s="443"/>
      <c r="D47" s="443"/>
      <c r="E47" s="481"/>
      <c r="F47" s="482"/>
      <c r="G47" s="483"/>
      <c r="H47" s="443"/>
      <c r="I47" s="443"/>
      <c r="J47" s="443"/>
      <c r="K47" s="443"/>
      <c r="L47" s="443"/>
    </row>
    <row r="48" spans="1:12" x14ac:dyDescent="0.25">
      <c r="A48" s="443"/>
      <c r="B48" s="1"/>
      <c r="C48" s="215" t="s">
        <v>364</v>
      </c>
      <c r="D48" s="443"/>
      <c r="E48" s="481"/>
      <c r="F48" s="76" t="s">
        <v>363</v>
      </c>
      <c r="G48" s="76" t="s">
        <v>347</v>
      </c>
      <c r="H48" s="76" t="s">
        <v>348</v>
      </c>
      <c r="I48" s="443"/>
      <c r="J48" s="443"/>
      <c r="K48" s="443"/>
      <c r="L48" s="443"/>
    </row>
    <row r="49" spans="1:12" x14ac:dyDescent="0.25">
      <c r="A49" s="443"/>
      <c r="B49" s="1"/>
      <c r="C49" s="473" t="s">
        <v>407</v>
      </c>
      <c r="D49" s="481"/>
      <c r="F49" s="473" t="s">
        <v>1217</v>
      </c>
      <c r="G49" s="473" t="s">
        <v>1218</v>
      </c>
      <c r="H49" s="67" t="s">
        <v>197</v>
      </c>
      <c r="I49" s="483"/>
      <c r="J49" s="443"/>
      <c r="K49" s="443"/>
      <c r="L49" s="443"/>
    </row>
    <row r="50" spans="1:12" x14ac:dyDescent="0.25">
      <c r="A50" s="443"/>
      <c r="B50" s="443"/>
      <c r="C50" s="473" t="s">
        <v>194</v>
      </c>
      <c r="D50" s="23" t="s">
        <v>195</v>
      </c>
      <c r="F50" s="23" t="s">
        <v>376</v>
      </c>
      <c r="G50" s="23" t="s">
        <v>376</v>
      </c>
      <c r="H50" s="23" t="s">
        <v>1199</v>
      </c>
      <c r="I50" s="23"/>
      <c r="J50" s="443"/>
      <c r="K50" s="443"/>
      <c r="L50" s="443"/>
    </row>
    <row r="51" spans="1:12" x14ac:dyDescent="0.25">
      <c r="A51" s="443"/>
      <c r="B51" s="443"/>
      <c r="C51" s="3" t="s">
        <v>193</v>
      </c>
      <c r="D51" s="22" t="s">
        <v>180</v>
      </c>
      <c r="F51" s="25" t="s">
        <v>2</v>
      </c>
      <c r="G51" s="25" t="s">
        <v>2</v>
      </c>
      <c r="H51" s="25" t="s">
        <v>2</v>
      </c>
      <c r="I51" s="24" t="s">
        <v>169</v>
      </c>
      <c r="J51" s="443"/>
      <c r="K51" s="443"/>
      <c r="L51" s="443"/>
    </row>
    <row r="52" spans="1:12" x14ac:dyDescent="0.25">
      <c r="A52" s="473">
        <f>A43+1</f>
        <v>20</v>
      </c>
      <c r="B52" s="443"/>
      <c r="C52" s="484" t="s">
        <v>181</v>
      </c>
      <c r="D52" s="485" t="s">
        <v>1219</v>
      </c>
      <c r="F52" s="932">
        <v>0</v>
      </c>
      <c r="G52" s="932">
        <v>0</v>
      </c>
      <c r="H52" s="924">
        <v>0</v>
      </c>
      <c r="I52" s="485" t="s">
        <v>1739</v>
      </c>
      <c r="J52" s="445"/>
      <c r="K52" s="443"/>
      <c r="L52" s="443"/>
    </row>
    <row r="53" spans="1:12" ht="12.75" customHeight="1" x14ac:dyDescent="0.25">
      <c r="A53" s="473">
        <f>A52+1</f>
        <v>21</v>
      </c>
      <c r="B53" s="443"/>
      <c r="C53" s="474" t="s">
        <v>181</v>
      </c>
      <c r="D53" s="485" t="s">
        <v>1767</v>
      </c>
      <c r="E53" s="13"/>
      <c r="F53" s="932">
        <v>0</v>
      </c>
      <c r="G53" s="932">
        <v>0</v>
      </c>
      <c r="H53" s="924">
        <v>0</v>
      </c>
      <c r="I53" s="442" t="s">
        <v>1740</v>
      </c>
      <c r="J53" s="445"/>
      <c r="K53" s="443"/>
      <c r="L53" s="443"/>
    </row>
    <row r="54" spans="1:12" ht="12.75" customHeight="1" x14ac:dyDescent="0.25">
      <c r="A54" s="443"/>
      <c r="B54" s="443"/>
      <c r="C54" s="474"/>
      <c r="D54" s="486"/>
      <c r="E54" s="487"/>
      <c r="F54" s="478"/>
      <c r="G54" s="447"/>
      <c r="H54" s="443"/>
      <c r="I54" s="443"/>
      <c r="J54" s="443"/>
      <c r="K54" s="443"/>
      <c r="L54" s="443"/>
    </row>
    <row r="55" spans="1:12" ht="12.75" customHeight="1" x14ac:dyDescent="0.25">
      <c r="A55" s="443"/>
      <c r="B55" s="443"/>
      <c r="C55" s="20" t="s">
        <v>1221</v>
      </c>
      <c r="D55" s="20"/>
      <c r="E55" s="481"/>
      <c r="F55" s="367" t="s">
        <v>176</v>
      </c>
      <c r="G55" s="368" t="s">
        <v>180</v>
      </c>
      <c r="H55" s="443"/>
      <c r="I55" s="443"/>
      <c r="J55" s="443"/>
      <c r="K55" s="443"/>
      <c r="L55" s="443"/>
    </row>
    <row r="56" spans="1:12" x14ac:dyDescent="0.25">
      <c r="A56" s="473">
        <f>A53+1</f>
        <v>22</v>
      </c>
      <c r="B56" s="443"/>
      <c r="C56" s="20"/>
      <c r="D56" s="20"/>
      <c r="E56" s="477" t="s">
        <v>85</v>
      </c>
      <c r="F56" s="924">
        <v>0</v>
      </c>
      <c r="G56" s="488" t="str">
        <f>"Average of Line "&amp;A52&amp;" and "&amp;A53&amp;"."</f>
        <v>Average of Line 20 and 21.</v>
      </c>
      <c r="H56" s="443"/>
      <c r="I56" s="443"/>
      <c r="J56" s="443"/>
      <c r="K56" s="443"/>
      <c r="L56" s="443"/>
    </row>
    <row r="57" spans="1:12" x14ac:dyDescent="0.25">
      <c r="A57" s="473">
        <f>A56+1</f>
        <v>23</v>
      </c>
      <c r="B57" s="443"/>
      <c r="C57" s="20"/>
      <c r="D57" s="20"/>
      <c r="E57" s="489" t="s">
        <v>242</v>
      </c>
      <c r="F57" s="927" t="s">
        <v>2193</v>
      </c>
      <c r="G57" s="488" t="str">
        <f>"27-Allocators, Line "&amp;'27-Allocators'!A15&amp;""</f>
        <v>27-Allocators, Line 9</v>
      </c>
      <c r="H57" s="443"/>
      <c r="I57" s="443"/>
      <c r="J57" s="443"/>
      <c r="K57" s="443"/>
      <c r="L57" s="443"/>
    </row>
    <row r="58" spans="1:12" x14ac:dyDescent="0.25">
      <c r="A58" s="473">
        <f>A57+1</f>
        <v>24</v>
      </c>
      <c r="B58" s="443"/>
      <c r="C58" s="20"/>
      <c r="D58" s="20"/>
      <c r="E58" s="489" t="s">
        <v>307</v>
      </c>
      <c r="F58" s="924">
        <v>0</v>
      </c>
      <c r="G58" s="488" t="str">
        <f>"Line "&amp;A56&amp;" * Line "&amp;A57&amp;"."</f>
        <v>Line 22 * Line 23.</v>
      </c>
      <c r="H58" s="443"/>
      <c r="I58" s="443"/>
      <c r="J58" s="443"/>
      <c r="K58" s="443"/>
      <c r="L58" s="443"/>
    </row>
    <row r="59" spans="1:12" x14ac:dyDescent="0.25">
      <c r="A59" s="443"/>
      <c r="B59" s="443"/>
      <c r="C59" s="20"/>
      <c r="D59" s="20"/>
      <c r="E59" s="489"/>
      <c r="F59" s="478"/>
      <c r="G59" s="479"/>
      <c r="H59" s="443"/>
      <c r="I59" s="443"/>
      <c r="J59" s="443"/>
      <c r="K59" s="443"/>
      <c r="L59" s="443"/>
    </row>
    <row r="60" spans="1:12" x14ac:dyDescent="0.25">
      <c r="A60" s="443"/>
      <c r="B60" s="443"/>
      <c r="C60" s="20" t="s">
        <v>1220</v>
      </c>
      <c r="D60" s="20"/>
      <c r="E60" s="481"/>
      <c r="F60" s="367" t="s">
        <v>176</v>
      </c>
      <c r="G60" s="368" t="s">
        <v>180</v>
      </c>
      <c r="H60" s="443"/>
      <c r="I60" s="443"/>
      <c r="J60" s="443"/>
      <c r="K60" s="443"/>
      <c r="L60" s="443"/>
    </row>
    <row r="61" spans="1:12" x14ac:dyDescent="0.25">
      <c r="A61" s="473">
        <f>A58+1</f>
        <v>25</v>
      </c>
      <c r="B61" s="443"/>
      <c r="C61" s="20"/>
      <c r="D61" s="20"/>
      <c r="E61" s="477" t="s">
        <v>157</v>
      </c>
      <c r="F61" s="924">
        <v>0</v>
      </c>
      <c r="G61" s="488" t="str">
        <f>"Line "&amp;A53&amp;"."</f>
        <v>Line 21.</v>
      </c>
      <c r="H61" s="443"/>
      <c r="I61" s="443"/>
      <c r="J61" s="443"/>
      <c r="K61" s="443"/>
      <c r="L61" s="443"/>
    </row>
    <row r="62" spans="1:12" x14ac:dyDescent="0.25">
      <c r="A62" s="473">
        <f>A61+1</f>
        <v>26</v>
      </c>
      <c r="B62" s="443"/>
      <c r="C62" s="20"/>
      <c r="D62" s="20"/>
      <c r="E62" s="489" t="s">
        <v>242</v>
      </c>
      <c r="F62" s="927" t="s">
        <v>2193</v>
      </c>
      <c r="G62" s="488" t="str">
        <f>"27-Allocators, Line "&amp;'27-Allocators'!A15&amp;""</f>
        <v>27-Allocators, Line 9</v>
      </c>
      <c r="H62" s="443"/>
      <c r="I62" s="443"/>
      <c r="J62" s="443"/>
      <c r="K62" s="443"/>
      <c r="L62" s="443"/>
    </row>
    <row r="63" spans="1:12" x14ac:dyDescent="0.25">
      <c r="A63" s="473">
        <f>A62+1</f>
        <v>27</v>
      </c>
      <c r="B63" s="443"/>
      <c r="C63" s="20"/>
      <c r="D63" s="20"/>
      <c r="E63" s="489" t="s">
        <v>307</v>
      </c>
      <c r="F63" s="924">
        <v>0</v>
      </c>
      <c r="G63" s="488" t="str">
        <f>"Line "&amp;A61&amp;" * Line "&amp;A62&amp;"."</f>
        <v>Line 25 * Line 26.</v>
      </c>
      <c r="H63" s="443"/>
      <c r="I63" s="443"/>
      <c r="J63" s="443"/>
      <c r="K63" s="443"/>
      <c r="L63" s="443"/>
    </row>
    <row r="64" spans="1:12" x14ac:dyDescent="0.25">
      <c r="A64" s="443"/>
      <c r="B64" s="443"/>
      <c r="C64" s="443"/>
      <c r="D64" s="443"/>
      <c r="E64" s="443"/>
      <c r="F64" s="443"/>
      <c r="G64" s="443"/>
      <c r="H64" s="443"/>
      <c r="I64" s="443"/>
      <c r="J64" s="443"/>
      <c r="K64" s="443"/>
      <c r="L64" s="443"/>
    </row>
    <row r="65" spans="1:13" x14ac:dyDescent="0.25">
      <c r="A65" s="443"/>
      <c r="B65" s="443"/>
      <c r="C65" s="443"/>
      <c r="D65" s="443"/>
      <c r="E65" s="443"/>
      <c r="F65" s="443"/>
      <c r="G65" s="443"/>
      <c r="H65" s="443"/>
      <c r="I65" s="443"/>
      <c r="J65" s="443"/>
      <c r="K65" s="443"/>
      <c r="L65" s="443"/>
    </row>
    <row r="66" spans="1:13" x14ac:dyDescent="0.25">
      <c r="A66" s="443"/>
      <c r="B66" s="1" t="s">
        <v>1543</v>
      </c>
      <c r="C66" s="443"/>
      <c r="D66" s="443"/>
      <c r="E66" s="443"/>
      <c r="F66" s="443"/>
      <c r="G66" s="443"/>
      <c r="H66" s="443"/>
      <c r="I66" s="443"/>
      <c r="J66" s="443"/>
      <c r="K66" s="443"/>
      <c r="L66" s="443"/>
    </row>
    <row r="67" spans="1:13" x14ac:dyDescent="0.25">
      <c r="A67" s="443"/>
      <c r="C67" s="443"/>
      <c r="D67" s="443"/>
      <c r="E67" s="443"/>
      <c r="F67" s="443"/>
      <c r="G67" s="443"/>
      <c r="H67" s="443"/>
      <c r="I67" s="443"/>
      <c r="J67" s="443"/>
      <c r="K67" s="443"/>
      <c r="L67" s="443"/>
    </row>
    <row r="68" spans="1:13" x14ac:dyDescent="0.25">
      <c r="B68" s="1" t="s">
        <v>2445</v>
      </c>
      <c r="C68" s="443"/>
      <c r="D68" s="443"/>
      <c r="E68" s="443"/>
      <c r="F68" s="443"/>
      <c r="G68" s="443"/>
      <c r="H68" s="443"/>
      <c r="I68" s="443"/>
      <c r="J68" s="443"/>
      <c r="K68" s="443"/>
      <c r="L68" s="443"/>
    </row>
    <row r="69" spans="1:13" x14ac:dyDescent="0.25">
      <c r="A69" s="443"/>
      <c r="C69" s="443"/>
      <c r="D69" s="443"/>
      <c r="E69" s="443"/>
      <c r="F69" s="443"/>
      <c r="G69" s="443"/>
      <c r="H69" s="443"/>
      <c r="I69" s="443"/>
      <c r="J69" s="443"/>
      <c r="K69" s="443"/>
      <c r="L69" s="443"/>
    </row>
    <row r="70" spans="1:13" x14ac:dyDescent="0.25">
      <c r="A70" s="364"/>
      <c r="B70" s="76" t="s">
        <v>363</v>
      </c>
      <c r="C70" s="76" t="s">
        <v>347</v>
      </c>
      <c r="D70" s="76" t="s">
        <v>348</v>
      </c>
      <c r="E70" s="76" t="s">
        <v>349</v>
      </c>
      <c r="F70" s="76" t="s">
        <v>350</v>
      </c>
      <c r="G70" s="76" t="s">
        <v>351</v>
      </c>
      <c r="H70" s="76" t="s">
        <v>352</v>
      </c>
      <c r="I70" s="76" t="s">
        <v>541</v>
      </c>
      <c r="J70" s="76" t="s">
        <v>955</v>
      </c>
      <c r="K70" s="76" t="s">
        <v>967</v>
      </c>
      <c r="L70" s="76" t="s">
        <v>970</v>
      </c>
      <c r="M70" s="76" t="s">
        <v>988</v>
      </c>
    </row>
    <row r="71" spans="1:13" x14ac:dyDescent="0.25">
      <c r="A71" s="202"/>
      <c r="B71" s="94"/>
      <c r="C71" s="76"/>
      <c r="D71" s="76"/>
      <c r="E71" s="202"/>
      <c r="F71" s="202"/>
      <c r="G71" s="202"/>
      <c r="H71" s="202"/>
      <c r="I71" s="202"/>
      <c r="J71" s="202"/>
      <c r="K71" s="202"/>
      <c r="L71" s="202"/>
    </row>
    <row r="72" spans="1:13" x14ac:dyDescent="0.25">
      <c r="A72" s="44"/>
      <c r="B72" s="104" t="s">
        <v>1772</v>
      </c>
      <c r="C72" s="76">
        <v>350.1</v>
      </c>
      <c r="D72" s="76">
        <v>350.2</v>
      </c>
      <c r="E72" s="76">
        <v>352</v>
      </c>
      <c r="F72" s="76">
        <v>353</v>
      </c>
      <c r="G72" s="76">
        <v>354</v>
      </c>
      <c r="H72" s="76">
        <v>355</v>
      </c>
      <c r="I72" s="76">
        <v>356</v>
      </c>
      <c r="J72" s="76">
        <v>357</v>
      </c>
      <c r="K72" s="76">
        <v>358</v>
      </c>
      <c r="L72" s="76">
        <v>359</v>
      </c>
      <c r="M72" s="3" t="s">
        <v>197</v>
      </c>
    </row>
    <row r="73" spans="1:13" x14ac:dyDescent="0.25">
      <c r="A73" s="473">
        <f>A63+1</f>
        <v>28</v>
      </c>
      <c r="B73" s="934" t="s">
        <v>1388</v>
      </c>
      <c r="C73" s="932">
        <v>0</v>
      </c>
      <c r="D73" s="932">
        <v>0</v>
      </c>
      <c r="E73" s="932">
        <v>0</v>
      </c>
      <c r="F73" s="932">
        <v>0</v>
      </c>
      <c r="G73" s="932">
        <v>0</v>
      </c>
      <c r="H73" s="932">
        <v>0</v>
      </c>
      <c r="I73" s="932">
        <v>0</v>
      </c>
      <c r="J73" s="932">
        <v>0</v>
      </c>
      <c r="K73" s="932">
        <v>0</v>
      </c>
      <c r="L73" s="932">
        <v>0</v>
      </c>
      <c r="M73" s="924">
        <v>0</v>
      </c>
    </row>
    <row r="74" spans="1:13" x14ac:dyDescent="0.25">
      <c r="A74" s="473">
        <f t="shared" ref="A74:A85" si="1">A73+1</f>
        <v>29</v>
      </c>
      <c r="B74" s="934" t="s">
        <v>1388</v>
      </c>
      <c r="C74" s="932">
        <v>0</v>
      </c>
      <c r="D74" s="932">
        <v>0</v>
      </c>
      <c r="E74" s="932">
        <v>0</v>
      </c>
      <c r="F74" s="932">
        <v>0</v>
      </c>
      <c r="G74" s="932">
        <v>0</v>
      </c>
      <c r="H74" s="932">
        <v>0</v>
      </c>
      <c r="I74" s="932">
        <v>0</v>
      </c>
      <c r="J74" s="932">
        <v>0</v>
      </c>
      <c r="K74" s="932">
        <v>0</v>
      </c>
      <c r="L74" s="932">
        <v>0</v>
      </c>
      <c r="M74" s="924">
        <v>0</v>
      </c>
    </row>
    <row r="75" spans="1:13" x14ac:dyDescent="0.25">
      <c r="A75" s="473">
        <f t="shared" si="1"/>
        <v>30</v>
      </c>
      <c r="B75" s="934" t="s">
        <v>1388</v>
      </c>
      <c r="C75" s="932">
        <v>0</v>
      </c>
      <c r="D75" s="932">
        <v>0</v>
      </c>
      <c r="E75" s="932">
        <v>0</v>
      </c>
      <c r="F75" s="932">
        <v>0</v>
      </c>
      <c r="G75" s="932">
        <v>0</v>
      </c>
      <c r="H75" s="932">
        <v>0</v>
      </c>
      <c r="I75" s="932">
        <v>0</v>
      </c>
      <c r="J75" s="932">
        <v>0</v>
      </c>
      <c r="K75" s="932">
        <v>0</v>
      </c>
      <c r="L75" s="932">
        <v>0</v>
      </c>
      <c r="M75" s="924">
        <v>0</v>
      </c>
    </row>
    <row r="76" spans="1:13" x14ac:dyDescent="0.25">
      <c r="A76" s="473">
        <f t="shared" si="1"/>
        <v>31</v>
      </c>
      <c r="B76" s="934" t="s">
        <v>1388</v>
      </c>
      <c r="C76" s="932">
        <v>0</v>
      </c>
      <c r="D76" s="932">
        <v>0</v>
      </c>
      <c r="E76" s="932">
        <v>0</v>
      </c>
      <c r="F76" s="932">
        <v>0</v>
      </c>
      <c r="G76" s="932">
        <v>0</v>
      </c>
      <c r="H76" s="932">
        <v>0</v>
      </c>
      <c r="I76" s="932">
        <v>0</v>
      </c>
      <c r="J76" s="932">
        <v>0</v>
      </c>
      <c r="K76" s="932">
        <v>0</v>
      </c>
      <c r="L76" s="932">
        <v>0</v>
      </c>
      <c r="M76" s="924">
        <v>0</v>
      </c>
    </row>
    <row r="77" spans="1:13" x14ac:dyDescent="0.25">
      <c r="A77" s="473">
        <f t="shared" si="1"/>
        <v>32</v>
      </c>
      <c r="B77" s="934" t="s">
        <v>1388</v>
      </c>
      <c r="C77" s="932">
        <v>0</v>
      </c>
      <c r="D77" s="932">
        <v>0</v>
      </c>
      <c r="E77" s="932">
        <v>0</v>
      </c>
      <c r="F77" s="932">
        <v>0</v>
      </c>
      <c r="G77" s="932">
        <v>0</v>
      </c>
      <c r="H77" s="932">
        <v>0</v>
      </c>
      <c r="I77" s="932">
        <v>0</v>
      </c>
      <c r="J77" s="932">
        <v>0</v>
      </c>
      <c r="K77" s="932">
        <v>0</v>
      </c>
      <c r="L77" s="932">
        <v>0</v>
      </c>
      <c r="M77" s="924">
        <v>0</v>
      </c>
    </row>
    <row r="78" spans="1:13" x14ac:dyDescent="0.25">
      <c r="A78" s="473">
        <f t="shared" si="1"/>
        <v>33</v>
      </c>
      <c r="B78" s="934" t="s">
        <v>1388</v>
      </c>
      <c r="C78" s="932">
        <v>0</v>
      </c>
      <c r="D78" s="932">
        <v>0</v>
      </c>
      <c r="E78" s="932">
        <v>0</v>
      </c>
      <c r="F78" s="932">
        <v>0</v>
      </c>
      <c r="G78" s="932">
        <v>0</v>
      </c>
      <c r="H78" s="932">
        <v>0</v>
      </c>
      <c r="I78" s="932">
        <v>0</v>
      </c>
      <c r="J78" s="932">
        <v>0</v>
      </c>
      <c r="K78" s="932">
        <v>0</v>
      </c>
      <c r="L78" s="932">
        <v>0</v>
      </c>
      <c r="M78" s="924">
        <v>0</v>
      </c>
    </row>
    <row r="79" spans="1:13" x14ac:dyDescent="0.25">
      <c r="A79" s="473">
        <f t="shared" si="1"/>
        <v>34</v>
      </c>
      <c r="B79" s="934" t="s">
        <v>1388</v>
      </c>
      <c r="C79" s="932">
        <v>0</v>
      </c>
      <c r="D79" s="932">
        <v>0</v>
      </c>
      <c r="E79" s="932">
        <v>0</v>
      </c>
      <c r="F79" s="932">
        <v>0</v>
      </c>
      <c r="G79" s="932">
        <v>0</v>
      </c>
      <c r="H79" s="932">
        <v>0</v>
      </c>
      <c r="I79" s="932">
        <v>0</v>
      </c>
      <c r="J79" s="932">
        <v>0</v>
      </c>
      <c r="K79" s="932">
        <v>0</v>
      </c>
      <c r="L79" s="932">
        <v>0</v>
      </c>
      <c r="M79" s="924">
        <v>0</v>
      </c>
    </row>
    <row r="80" spans="1:13" x14ac:dyDescent="0.25">
      <c r="A80" s="473">
        <f t="shared" si="1"/>
        <v>35</v>
      </c>
      <c r="B80" s="934" t="s">
        <v>1388</v>
      </c>
      <c r="C80" s="932">
        <v>0</v>
      </c>
      <c r="D80" s="932">
        <v>0</v>
      </c>
      <c r="E80" s="932">
        <v>0</v>
      </c>
      <c r="F80" s="932">
        <v>0</v>
      </c>
      <c r="G80" s="932">
        <v>0</v>
      </c>
      <c r="H80" s="932">
        <v>0</v>
      </c>
      <c r="I80" s="932">
        <v>0</v>
      </c>
      <c r="J80" s="932">
        <v>0</v>
      </c>
      <c r="K80" s="932">
        <v>0</v>
      </c>
      <c r="L80" s="932">
        <v>0</v>
      </c>
      <c r="M80" s="924">
        <v>0</v>
      </c>
    </row>
    <row r="81" spans="1:13" x14ac:dyDescent="0.25">
      <c r="A81" s="473">
        <f t="shared" si="1"/>
        <v>36</v>
      </c>
      <c r="B81" s="934" t="s">
        <v>1388</v>
      </c>
      <c r="C81" s="932">
        <v>0</v>
      </c>
      <c r="D81" s="932">
        <v>0</v>
      </c>
      <c r="E81" s="932">
        <v>0</v>
      </c>
      <c r="F81" s="932">
        <v>0</v>
      </c>
      <c r="G81" s="932">
        <v>0</v>
      </c>
      <c r="H81" s="932">
        <v>0</v>
      </c>
      <c r="I81" s="932">
        <v>0</v>
      </c>
      <c r="J81" s="932">
        <v>0</v>
      </c>
      <c r="K81" s="932">
        <v>0</v>
      </c>
      <c r="L81" s="932">
        <v>0</v>
      </c>
      <c r="M81" s="924">
        <v>0</v>
      </c>
    </row>
    <row r="82" spans="1:13" x14ac:dyDescent="0.25">
      <c r="A82" s="473">
        <f t="shared" si="1"/>
        <v>37</v>
      </c>
      <c r="B82" s="934" t="s">
        <v>1388</v>
      </c>
      <c r="C82" s="932">
        <v>0</v>
      </c>
      <c r="D82" s="932">
        <v>0</v>
      </c>
      <c r="E82" s="932">
        <v>0</v>
      </c>
      <c r="F82" s="932">
        <v>0</v>
      </c>
      <c r="G82" s="932">
        <v>0</v>
      </c>
      <c r="H82" s="932">
        <v>0</v>
      </c>
      <c r="I82" s="932">
        <v>0</v>
      </c>
      <c r="J82" s="932">
        <v>0</v>
      </c>
      <c r="K82" s="932">
        <v>0</v>
      </c>
      <c r="L82" s="932">
        <v>0</v>
      </c>
      <c r="M82" s="924">
        <v>0</v>
      </c>
    </row>
    <row r="83" spans="1:13" x14ac:dyDescent="0.25">
      <c r="A83" s="473">
        <f t="shared" si="1"/>
        <v>38</v>
      </c>
      <c r="B83" s="934" t="s">
        <v>1388</v>
      </c>
      <c r="C83" s="932">
        <v>0</v>
      </c>
      <c r="D83" s="932">
        <v>0</v>
      </c>
      <c r="E83" s="932">
        <v>0</v>
      </c>
      <c r="F83" s="932">
        <v>0</v>
      </c>
      <c r="G83" s="932">
        <v>0</v>
      </c>
      <c r="H83" s="932">
        <v>0</v>
      </c>
      <c r="I83" s="932">
        <v>0</v>
      </c>
      <c r="J83" s="932">
        <v>0</v>
      </c>
      <c r="K83" s="932">
        <v>0</v>
      </c>
      <c r="L83" s="932">
        <v>0</v>
      </c>
      <c r="M83" s="924">
        <v>0</v>
      </c>
    </row>
    <row r="84" spans="1:13" x14ac:dyDescent="0.25">
      <c r="A84" s="473">
        <f t="shared" si="1"/>
        <v>39</v>
      </c>
      <c r="B84" s="934" t="s">
        <v>1388</v>
      </c>
      <c r="C84" s="932">
        <v>0</v>
      </c>
      <c r="D84" s="932">
        <v>0</v>
      </c>
      <c r="E84" s="932">
        <v>0</v>
      </c>
      <c r="F84" s="932">
        <v>0</v>
      </c>
      <c r="G84" s="932">
        <v>0</v>
      </c>
      <c r="H84" s="932">
        <v>0</v>
      </c>
      <c r="I84" s="932">
        <v>0</v>
      </c>
      <c r="J84" s="932">
        <v>0</v>
      </c>
      <c r="K84" s="932">
        <v>0</v>
      </c>
      <c r="L84" s="932">
        <v>0</v>
      </c>
      <c r="M84" s="930">
        <v>0</v>
      </c>
    </row>
    <row r="85" spans="1:13" x14ac:dyDescent="0.25">
      <c r="A85" s="473">
        <f t="shared" si="1"/>
        <v>40</v>
      </c>
      <c r="B85" s="934" t="s">
        <v>1388</v>
      </c>
      <c r="C85" s="932">
        <v>0</v>
      </c>
      <c r="D85" s="932">
        <v>0</v>
      </c>
      <c r="E85" s="924">
        <v>0</v>
      </c>
      <c r="F85" s="924">
        <v>0</v>
      </c>
      <c r="G85" s="924">
        <v>0</v>
      </c>
      <c r="H85" s="924">
        <v>0</v>
      </c>
      <c r="I85" s="924">
        <v>0</v>
      </c>
      <c r="J85" s="924">
        <v>0</v>
      </c>
      <c r="K85" s="924">
        <v>0</v>
      </c>
      <c r="L85" s="924">
        <v>0</v>
      </c>
      <c r="M85" s="924">
        <v>0</v>
      </c>
    </row>
    <row r="86" spans="1:13" x14ac:dyDescent="0.25">
      <c r="A86" s="547"/>
      <c r="B86" s="476"/>
      <c r="C86" s="924"/>
      <c r="D86" s="924"/>
      <c r="E86" s="924"/>
      <c r="F86" s="924"/>
      <c r="G86" s="924"/>
      <c r="H86" s="924"/>
      <c r="I86" s="924"/>
      <c r="J86" s="924"/>
      <c r="K86" s="924"/>
      <c r="L86" s="924"/>
      <c r="M86" s="924"/>
    </row>
    <row r="87" spans="1:13" x14ac:dyDescent="0.25">
      <c r="B87" s="38" t="s">
        <v>2446</v>
      </c>
      <c r="C87" s="13"/>
      <c r="D87" s="13"/>
      <c r="E87" s="13"/>
      <c r="F87" s="13"/>
      <c r="G87" s="13"/>
    </row>
    <row r="88" spans="1:13" x14ac:dyDescent="0.25">
      <c r="B88" s="13"/>
      <c r="C88" s="13"/>
      <c r="D88" s="13"/>
      <c r="E88" s="13"/>
      <c r="F88" s="13"/>
      <c r="G88" s="13"/>
    </row>
    <row r="89" spans="1:13" x14ac:dyDescent="0.25">
      <c r="A89" s="364"/>
      <c r="B89" s="318" t="s">
        <v>363</v>
      </c>
      <c r="C89" s="318" t="s">
        <v>347</v>
      </c>
      <c r="D89" s="318" t="s">
        <v>348</v>
      </c>
      <c r="E89" s="318" t="s">
        <v>349</v>
      </c>
      <c r="F89" s="318" t="s">
        <v>350</v>
      </c>
      <c r="G89" s="318" t="s">
        <v>351</v>
      </c>
      <c r="H89" s="76" t="s">
        <v>352</v>
      </c>
      <c r="I89" s="76" t="s">
        <v>541</v>
      </c>
      <c r="J89" s="76" t="s">
        <v>955</v>
      </c>
      <c r="K89" s="76" t="s">
        <v>967</v>
      </c>
      <c r="L89" s="76" t="s">
        <v>970</v>
      </c>
      <c r="M89" s="76" t="s">
        <v>988</v>
      </c>
    </row>
    <row r="90" spans="1:13" x14ac:dyDescent="0.25">
      <c r="A90" s="202"/>
      <c r="B90" s="94"/>
      <c r="C90" s="318"/>
      <c r="D90" s="318"/>
      <c r="E90" s="208"/>
      <c r="F90" s="208"/>
      <c r="G90" s="208"/>
      <c r="H90" s="202"/>
      <c r="I90" s="202"/>
      <c r="J90" s="202"/>
      <c r="K90" s="202"/>
      <c r="L90" s="202"/>
      <c r="M90" s="215" t="s">
        <v>1231</v>
      </c>
    </row>
    <row r="91" spans="1:13" x14ac:dyDescent="0.25">
      <c r="A91" s="44"/>
      <c r="B91" s="104" t="s">
        <v>1772</v>
      </c>
      <c r="C91" s="318">
        <v>350.1</v>
      </c>
      <c r="D91" s="318">
        <v>350.2</v>
      </c>
      <c r="E91" s="318">
        <v>352</v>
      </c>
      <c r="F91" s="318">
        <v>353</v>
      </c>
      <c r="G91" s="318">
        <v>354</v>
      </c>
      <c r="H91" s="76">
        <v>355</v>
      </c>
      <c r="I91" s="76">
        <v>356</v>
      </c>
      <c r="J91" s="76">
        <v>357</v>
      </c>
      <c r="K91" s="76">
        <v>358</v>
      </c>
      <c r="L91" s="76">
        <v>359</v>
      </c>
      <c r="M91" s="3" t="s">
        <v>197</v>
      </c>
    </row>
    <row r="92" spans="1:13" x14ac:dyDescent="0.25">
      <c r="A92" s="547">
        <f>A85+1</f>
        <v>41</v>
      </c>
      <c r="B92" s="934" t="s">
        <v>1388</v>
      </c>
      <c r="C92" s="924">
        <v>0</v>
      </c>
      <c r="D92" s="924">
        <v>0</v>
      </c>
      <c r="E92" s="924">
        <v>0</v>
      </c>
      <c r="F92" s="924">
        <v>0</v>
      </c>
      <c r="G92" s="924">
        <v>0</v>
      </c>
      <c r="H92" s="924">
        <v>0</v>
      </c>
      <c r="I92" s="924">
        <v>0</v>
      </c>
      <c r="J92" s="924">
        <v>0</v>
      </c>
      <c r="K92" s="924">
        <v>0</v>
      </c>
      <c r="L92" s="924">
        <v>0</v>
      </c>
      <c r="M92" s="924">
        <v>0</v>
      </c>
    </row>
    <row r="93" spans="1:13" x14ac:dyDescent="0.25">
      <c r="A93" s="547">
        <f t="shared" ref="A93:A104" si="2">A92+1</f>
        <v>42</v>
      </c>
      <c r="B93" s="934" t="s">
        <v>1388</v>
      </c>
      <c r="C93" s="924">
        <v>0</v>
      </c>
      <c r="D93" s="924">
        <v>0</v>
      </c>
      <c r="E93" s="924">
        <v>0</v>
      </c>
      <c r="F93" s="924">
        <v>0</v>
      </c>
      <c r="G93" s="924">
        <v>0</v>
      </c>
      <c r="H93" s="924">
        <v>0</v>
      </c>
      <c r="I93" s="924">
        <v>0</v>
      </c>
      <c r="J93" s="924">
        <v>0</v>
      </c>
      <c r="K93" s="924">
        <v>0</v>
      </c>
      <c r="L93" s="924">
        <v>0</v>
      </c>
      <c r="M93" s="924">
        <v>0</v>
      </c>
    </row>
    <row r="94" spans="1:13" x14ac:dyDescent="0.25">
      <c r="A94" s="547">
        <f t="shared" si="2"/>
        <v>43</v>
      </c>
      <c r="B94" s="934" t="s">
        <v>1388</v>
      </c>
      <c r="C94" s="924">
        <v>0</v>
      </c>
      <c r="D94" s="924">
        <v>0</v>
      </c>
      <c r="E94" s="924">
        <v>0</v>
      </c>
      <c r="F94" s="924">
        <v>0</v>
      </c>
      <c r="G94" s="924">
        <v>0</v>
      </c>
      <c r="H94" s="924">
        <v>0</v>
      </c>
      <c r="I94" s="924">
        <v>0</v>
      </c>
      <c r="J94" s="924">
        <v>0</v>
      </c>
      <c r="K94" s="924">
        <v>0</v>
      </c>
      <c r="L94" s="924">
        <v>0</v>
      </c>
      <c r="M94" s="924">
        <v>0</v>
      </c>
    </row>
    <row r="95" spans="1:13" x14ac:dyDescent="0.25">
      <c r="A95" s="547">
        <f t="shared" si="2"/>
        <v>44</v>
      </c>
      <c r="B95" s="934" t="s">
        <v>1388</v>
      </c>
      <c r="C95" s="924">
        <v>0</v>
      </c>
      <c r="D95" s="924">
        <v>0</v>
      </c>
      <c r="E95" s="924">
        <v>0</v>
      </c>
      <c r="F95" s="924">
        <v>0</v>
      </c>
      <c r="G95" s="924">
        <v>0</v>
      </c>
      <c r="H95" s="924">
        <v>0</v>
      </c>
      <c r="I95" s="924">
        <v>0</v>
      </c>
      <c r="J95" s="924">
        <v>0</v>
      </c>
      <c r="K95" s="924">
        <v>0</v>
      </c>
      <c r="L95" s="924">
        <v>0</v>
      </c>
      <c r="M95" s="924">
        <v>0</v>
      </c>
    </row>
    <row r="96" spans="1:13" x14ac:dyDescent="0.25">
      <c r="A96" s="547">
        <f t="shared" si="2"/>
        <v>45</v>
      </c>
      <c r="B96" s="934" t="s">
        <v>1388</v>
      </c>
      <c r="C96" s="924">
        <v>0</v>
      </c>
      <c r="D96" s="924">
        <v>0</v>
      </c>
      <c r="E96" s="924">
        <v>0</v>
      </c>
      <c r="F96" s="924">
        <v>0</v>
      </c>
      <c r="G96" s="924">
        <v>0</v>
      </c>
      <c r="H96" s="924">
        <v>0</v>
      </c>
      <c r="I96" s="924">
        <v>0</v>
      </c>
      <c r="J96" s="924">
        <v>0</v>
      </c>
      <c r="K96" s="924">
        <v>0</v>
      </c>
      <c r="L96" s="924">
        <v>0</v>
      </c>
      <c r="M96" s="924">
        <v>0</v>
      </c>
    </row>
    <row r="97" spans="1:13" x14ac:dyDescent="0.25">
      <c r="A97" s="547">
        <f t="shared" si="2"/>
        <v>46</v>
      </c>
      <c r="B97" s="934" t="s">
        <v>1388</v>
      </c>
      <c r="C97" s="924">
        <v>0</v>
      </c>
      <c r="D97" s="924">
        <v>0</v>
      </c>
      <c r="E97" s="924">
        <v>0</v>
      </c>
      <c r="F97" s="924">
        <v>0</v>
      </c>
      <c r="G97" s="924">
        <v>0</v>
      </c>
      <c r="H97" s="924">
        <v>0</v>
      </c>
      <c r="I97" s="924">
        <v>0</v>
      </c>
      <c r="J97" s="924">
        <v>0</v>
      </c>
      <c r="K97" s="924">
        <v>0</v>
      </c>
      <c r="L97" s="924">
        <v>0</v>
      </c>
      <c r="M97" s="924">
        <v>0</v>
      </c>
    </row>
    <row r="98" spans="1:13" x14ac:dyDescent="0.25">
      <c r="A98" s="547">
        <f t="shared" si="2"/>
        <v>47</v>
      </c>
      <c r="B98" s="934" t="s">
        <v>1388</v>
      </c>
      <c r="C98" s="924">
        <v>0</v>
      </c>
      <c r="D98" s="924">
        <v>0</v>
      </c>
      <c r="E98" s="924">
        <v>0</v>
      </c>
      <c r="F98" s="924">
        <v>0</v>
      </c>
      <c r="G98" s="924">
        <v>0</v>
      </c>
      <c r="H98" s="924">
        <v>0</v>
      </c>
      <c r="I98" s="924">
        <v>0</v>
      </c>
      <c r="J98" s="924">
        <v>0</v>
      </c>
      <c r="K98" s="924">
        <v>0</v>
      </c>
      <c r="L98" s="924">
        <v>0</v>
      </c>
      <c r="M98" s="924">
        <v>0</v>
      </c>
    </row>
    <row r="99" spans="1:13" x14ac:dyDescent="0.25">
      <c r="A99" s="547">
        <f t="shared" si="2"/>
        <v>48</v>
      </c>
      <c r="B99" s="934" t="s">
        <v>1388</v>
      </c>
      <c r="C99" s="924">
        <v>0</v>
      </c>
      <c r="D99" s="924">
        <v>0</v>
      </c>
      <c r="E99" s="924">
        <v>0</v>
      </c>
      <c r="F99" s="924">
        <v>0</v>
      </c>
      <c r="G99" s="924">
        <v>0</v>
      </c>
      <c r="H99" s="924">
        <v>0</v>
      </c>
      <c r="I99" s="924">
        <v>0</v>
      </c>
      <c r="J99" s="924">
        <v>0</v>
      </c>
      <c r="K99" s="924">
        <v>0</v>
      </c>
      <c r="L99" s="924">
        <v>0</v>
      </c>
      <c r="M99" s="924">
        <v>0</v>
      </c>
    </row>
    <row r="100" spans="1:13" x14ac:dyDescent="0.25">
      <c r="A100" s="547">
        <f t="shared" si="2"/>
        <v>49</v>
      </c>
      <c r="B100" s="934" t="s">
        <v>1388</v>
      </c>
      <c r="C100" s="924">
        <v>0</v>
      </c>
      <c r="D100" s="924">
        <v>0</v>
      </c>
      <c r="E100" s="924">
        <v>0</v>
      </c>
      <c r="F100" s="924">
        <v>0</v>
      </c>
      <c r="G100" s="924">
        <v>0</v>
      </c>
      <c r="H100" s="924">
        <v>0</v>
      </c>
      <c r="I100" s="924">
        <v>0</v>
      </c>
      <c r="J100" s="924">
        <v>0</v>
      </c>
      <c r="K100" s="924">
        <v>0</v>
      </c>
      <c r="L100" s="924">
        <v>0</v>
      </c>
      <c r="M100" s="924">
        <v>0</v>
      </c>
    </row>
    <row r="101" spans="1:13" x14ac:dyDescent="0.25">
      <c r="A101" s="547">
        <f t="shared" si="2"/>
        <v>50</v>
      </c>
      <c r="B101" s="934" t="s">
        <v>1388</v>
      </c>
      <c r="C101" s="924">
        <v>0</v>
      </c>
      <c r="D101" s="924">
        <v>0</v>
      </c>
      <c r="E101" s="924">
        <v>0</v>
      </c>
      <c r="F101" s="924">
        <v>0</v>
      </c>
      <c r="G101" s="924">
        <v>0</v>
      </c>
      <c r="H101" s="924">
        <v>0</v>
      </c>
      <c r="I101" s="924">
        <v>0</v>
      </c>
      <c r="J101" s="924">
        <v>0</v>
      </c>
      <c r="K101" s="924">
        <v>0</v>
      </c>
      <c r="L101" s="924">
        <v>0</v>
      </c>
      <c r="M101" s="924">
        <v>0</v>
      </c>
    </row>
    <row r="102" spans="1:13" x14ac:dyDescent="0.25">
      <c r="A102" s="547">
        <f t="shared" si="2"/>
        <v>51</v>
      </c>
      <c r="B102" s="934" t="s">
        <v>1388</v>
      </c>
      <c r="C102" s="924">
        <v>0</v>
      </c>
      <c r="D102" s="924">
        <v>0</v>
      </c>
      <c r="E102" s="924">
        <v>0</v>
      </c>
      <c r="F102" s="924">
        <v>0</v>
      </c>
      <c r="G102" s="924">
        <v>0</v>
      </c>
      <c r="H102" s="924">
        <v>0</v>
      </c>
      <c r="I102" s="924">
        <v>0</v>
      </c>
      <c r="J102" s="924">
        <v>0</v>
      </c>
      <c r="K102" s="924">
        <v>0</v>
      </c>
      <c r="L102" s="924">
        <v>0</v>
      </c>
      <c r="M102" s="924">
        <v>0</v>
      </c>
    </row>
    <row r="103" spans="1:13" ht="15" x14ac:dyDescent="0.4">
      <c r="A103" s="547">
        <f t="shared" si="2"/>
        <v>52</v>
      </c>
      <c r="B103" s="934" t="s">
        <v>1388</v>
      </c>
      <c r="C103" s="925">
        <v>0</v>
      </c>
      <c r="D103" s="925">
        <v>0</v>
      </c>
      <c r="E103" s="925">
        <v>0</v>
      </c>
      <c r="F103" s="925">
        <v>0</v>
      </c>
      <c r="G103" s="925">
        <v>0</v>
      </c>
      <c r="H103" s="925">
        <v>0</v>
      </c>
      <c r="I103" s="925">
        <v>0</v>
      </c>
      <c r="J103" s="925">
        <v>0</v>
      </c>
      <c r="K103" s="925">
        <v>0</v>
      </c>
      <c r="L103" s="925">
        <v>0</v>
      </c>
      <c r="M103" s="925">
        <v>0</v>
      </c>
    </row>
    <row r="104" spans="1:13" x14ac:dyDescent="0.25">
      <c r="A104" s="547">
        <f t="shared" si="2"/>
        <v>53</v>
      </c>
      <c r="B104" s="476" t="s">
        <v>4</v>
      </c>
      <c r="C104" s="924">
        <v>0</v>
      </c>
      <c r="D104" s="924">
        <v>0</v>
      </c>
      <c r="E104" s="924">
        <v>0</v>
      </c>
      <c r="F104" s="924">
        <v>0</v>
      </c>
      <c r="G104" s="924">
        <v>0</v>
      </c>
      <c r="H104" s="924">
        <v>0</v>
      </c>
      <c r="I104" s="924">
        <v>0</v>
      </c>
      <c r="J104" s="924">
        <v>0</v>
      </c>
      <c r="K104" s="924">
        <v>0</v>
      </c>
      <c r="L104" s="924">
        <v>0</v>
      </c>
      <c r="M104" s="924">
        <v>0</v>
      </c>
    </row>
    <row r="106" spans="1:13" x14ac:dyDescent="0.25">
      <c r="B106" s="38" t="s">
        <v>2447</v>
      </c>
      <c r="C106" s="13"/>
      <c r="D106" s="13"/>
      <c r="E106" s="13"/>
    </row>
    <row r="107" spans="1:13" x14ac:dyDescent="0.25">
      <c r="B107" s="13"/>
      <c r="C107" s="13"/>
      <c r="D107" s="13"/>
    </row>
    <row r="108" spans="1:13" x14ac:dyDescent="0.25">
      <c r="A108" s="364"/>
      <c r="B108" s="318" t="s">
        <v>363</v>
      </c>
      <c r="C108" s="318" t="s">
        <v>347</v>
      </c>
      <c r="D108" s="318" t="s">
        <v>348</v>
      </c>
      <c r="E108" s="76" t="s">
        <v>349</v>
      </c>
      <c r="F108" s="76" t="s">
        <v>350</v>
      </c>
      <c r="G108" s="76" t="s">
        <v>351</v>
      </c>
      <c r="H108" s="76" t="s">
        <v>352</v>
      </c>
      <c r="I108" s="76" t="s">
        <v>541</v>
      </c>
      <c r="J108" s="76" t="s">
        <v>955</v>
      </c>
      <c r="K108" s="76" t="s">
        <v>967</v>
      </c>
      <c r="L108" s="76" t="s">
        <v>970</v>
      </c>
      <c r="M108" s="76" t="s">
        <v>988</v>
      </c>
    </row>
    <row r="109" spans="1:13" x14ac:dyDescent="0.25">
      <c r="A109" s="202"/>
      <c r="B109" s="422"/>
      <c r="C109" s="208"/>
      <c r="D109" s="208"/>
      <c r="E109" s="202"/>
      <c r="F109" s="202"/>
      <c r="G109" s="202"/>
      <c r="H109" s="202"/>
      <c r="I109" s="202"/>
      <c r="J109" s="202"/>
      <c r="K109" s="202"/>
      <c r="M109" s="215" t="s">
        <v>1231</v>
      </c>
    </row>
    <row r="110" spans="1:13" x14ac:dyDescent="0.25">
      <c r="A110" s="44"/>
      <c r="B110" s="104" t="s">
        <v>1772</v>
      </c>
      <c r="C110" s="318">
        <v>350.1</v>
      </c>
      <c r="D110" s="318">
        <v>350.2</v>
      </c>
      <c r="E110" s="76">
        <v>352</v>
      </c>
      <c r="F110" s="76">
        <v>353</v>
      </c>
      <c r="G110" s="76">
        <v>354</v>
      </c>
      <c r="H110" s="76">
        <v>355</v>
      </c>
      <c r="I110" s="76">
        <v>356</v>
      </c>
      <c r="J110" s="76">
        <v>357</v>
      </c>
      <c r="K110" s="76">
        <v>358</v>
      </c>
      <c r="L110" s="76">
        <v>359</v>
      </c>
      <c r="M110" s="3" t="s">
        <v>197</v>
      </c>
    </row>
    <row r="111" spans="1:13" x14ac:dyDescent="0.25">
      <c r="A111" s="473">
        <f>A104+1</f>
        <v>54</v>
      </c>
      <c r="B111" s="934" t="s">
        <v>1388</v>
      </c>
      <c r="C111" s="932">
        <v>0</v>
      </c>
      <c r="D111" s="932">
        <v>0</v>
      </c>
      <c r="E111" s="932">
        <v>0</v>
      </c>
      <c r="F111" s="932">
        <v>0</v>
      </c>
      <c r="G111" s="932">
        <v>0</v>
      </c>
      <c r="H111" s="932">
        <v>0</v>
      </c>
      <c r="I111" s="932">
        <v>0</v>
      </c>
      <c r="J111" s="932">
        <v>0</v>
      </c>
      <c r="K111" s="932">
        <v>0</v>
      </c>
      <c r="L111" s="932">
        <v>0</v>
      </c>
      <c r="M111" s="924">
        <v>0</v>
      </c>
    </row>
    <row r="112" spans="1:13" x14ac:dyDescent="0.25">
      <c r="A112" s="473">
        <f t="shared" ref="A112:A123" si="3">A111+1</f>
        <v>55</v>
      </c>
      <c r="B112" s="934" t="s">
        <v>1388</v>
      </c>
      <c r="C112" s="932">
        <v>0</v>
      </c>
      <c r="D112" s="932">
        <v>0</v>
      </c>
      <c r="E112" s="932">
        <v>0</v>
      </c>
      <c r="F112" s="932">
        <v>0</v>
      </c>
      <c r="G112" s="932">
        <v>0</v>
      </c>
      <c r="H112" s="932">
        <v>0</v>
      </c>
      <c r="I112" s="932">
        <v>0</v>
      </c>
      <c r="J112" s="932">
        <v>0</v>
      </c>
      <c r="K112" s="932">
        <v>0</v>
      </c>
      <c r="L112" s="932">
        <v>0</v>
      </c>
      <c r="M112" s="924">
        <v>0</v>
      </c>
    </row>
    <row r="113" spans="1:13" x14ac:dyDescent="0.25">
      <c r="A113" s="473">
        <f t="shared" si="3"/>
        <v>56</v>
      </c>
      <c r="B113" s="934" t="s">
        <v>1388</v>
      </c>
      <c r="C113" s="932">
        <v>0</v>
      </c>
      <c r="D113" s="932">
        <v>0</v>
      </c>
      <c r="E113" s="932">
        <v>0</v>
      </c>
      <c r="F113" s="932">
        <v>0</v>
      </c>
      <c r="G113" s="932">
        <v>0</v>
      </c>
      <c r="H113" s="932">
        <v>0</v>
      </c>
      <c r="I113" s="932">
        <v>0</v>
      </c>
      <c r="J113" s="932">
        <v>0</v>
      </c>
      <c r="K113" s="932">
        <v>0</v>
      </c>
      <c r="L113" s="932">
        <v>0</v>
      </c>
      <c r="M113" s="924">
        <v>0</v>
      </c>
    </row>
    <row r="114" spans="1:13" x14ac:dyDescent="0.25">
      <c r="A114" s="473">
        <f t="shared" si="3"/>
        <v>57</v>
      </c>
      <c r="B114" s="934" t="s">
        <v>1388</v>
      </c>
      <c r="C114" s="932">
        <v>0</v>
      </c>
      <c r="D114" s="932">
        <v>0</v>
      </c>
      <c r="E114" s="932">
        <v>0</v>
      </c>
      <c r="F114" s="932">
        <v>0</v>
      </c>
      <c r="G114" s="932">
        <v>0</v>
      </c>
      <c r="H114" s="932">
        <v>0</v>
      </c>
      <c r="I114" s="932">
        <v>0</v>
      </c>
      <c r="J114" s="932">
        <v>0</v>
      </c>
      <c r="K114" s="932">
        <v>0</v>
      </c>
      <c r="L114" s="932">
        <v>0</v>
      </c>
      <c r="M114" s="924">
        <v>0</v>
      </c>
    </row>
    <row r="115" spans="1:13" x14ac:dyDescent="0.25">
      <c r="A115" s="473">
        <f t="shared" si="3"/>
        <v>58</v>
      </c>
      <c r="B115" s="934" t="s">
        <v>1388</v>
      </c>
      <c r="C115" s="932">
        <v>0</v>
      </c>
      <c r="D115" s="932">
        <v>0</v>
      </c>
      <c r="E115" s="932">
        <v>0</v>
      </c>
      <c r="F115" s="932">
        <v>0</v>
      </c>
      <c r="G115" s="932">
        <v>0</v>
      </c>
      <c r="H115" s="932">
        <v>0</v>
      </c>
      <c r="I115" s="932">
        <v>0</v>
      </c>
      <c r="J115" s="932">
        <v>0</v>
      </c>
      <c r="K115" s="932">
        <v>0</v>
      </c>
      <c r="L115" s="932">
        <v>0</v>
      </c>
      <c r="M115" s="924">
        <v>0</v>
      </c>
    </row>
    <row r="116" spans="1:13" x14ac:dyDescent="0.25">
      <c r="A116" s="473">
        <f t="shared" si="3"/>
        <v>59</v>
      </c>
      <c r="B116" s="934" t="s">
        <v>1388</v>
      </c>
      <c r="C116" s="932">
        <v>0</v>
      </c>
      <c r="D116" s="932">
        <v>0</v>
      </c>
      <c r="E116" s="932">
        <v>0</v>
      </c>
      <c r="F116" s="932">
        <v>0</v>
      </c>
      <c r="G116" s="932">
        <v>0</v>
      </c>
      <c r="H116" s="932">
        <v>0</v>
      </c>
      <c r="I116" s="932">
        <v>0</v>
      </c>
      <c r="J116" s="932">
        <v>0</v>
      </c>
      <c r="K116" s="932">
        <v>0</v>
      </c>
      <c r="L116" s="932">
        <v>0</v>
      </c>
      <c r="M116" s="924">
        <v>0</v>
      </c>
    </row>
    <row r="117" spans="1:13" x14ac:dyDescent="0.25">
      <c r="A117" s="473">
        <f t="shared" si="3"/>
        <v>60</v>
      </c>
      <c r="B117" s="934" t="s">
        <v>1388</v>
      </c>
      <c r="C117" s="932">
        <v>0</v>
      </c>
      <c r="D117" s="932">
        <v>0</v>
      </c>
      <c r="E117" s="932">
        <v>0</v>
      </c>
      <c r="F117" s="932">
        <v>0</v>
      </c>
      <c r="G117" s="932">
        <v>0</v>
      </c>
      <c r="H117" s="932">
        <v>0</v>
      </c>
      <c r="I117" s="932">
        <v>0</v>
      </c>
      <c r="J117" s="932">
        <v>0</v>
      </c>
      <c r="K117" s="932">
        <v>0</v>
      </c>
      <c r="L117" s="932">
        <v>0</v>
      </c>
      <c r="M117" s="924">
        <v>0</v>
      </c>
    </row>
    <row r="118" spans="1:13" x14ac:dyDescent="0.25">
      <c r="A118" s="473">
        <f t="shared" si="3"/>
        <v>61</v>
      </c>
      <c r="B118" s="934" t="s">
        <v>1388</v>
      </c>
      <c r="C118" s="932">
        <v>0</v>
      </c>
      <c r="D118" s="932">
        <v>0</v>
      </c>
      <c r="E118" s="932">
        <v>0</v>
      </c>
      <c r="F118" s="932">
        <v>0</v>
      </c>
      <c r="G118" s="932">
        <v>0</v>
      </c>
      <c r="H118" s="932">
        <v>0</v>
      </c>
      <c r="I118" s="932">
        <v>0</v>
      </c>
      <c r="J118" s="932">
        <v>0</v>
      </c>
      <c r="K118" s="932">
        <v>0</v>
      </c>
      <c r="L118" s="932">
        <v>0</v>
      </c>
      <c r="M118" s="924">
        <v>0</v>
      </c>
    </row>
    <row r="119" spans="1:13" x14ac:dyDescent="0.25">
      <c r="A119" s="473">
        <f t="shared" si="3"/>
        <v>62</v>
      </c>
      <c r="B119" s="934" t="s">
        <v>1388</v>
      </c>
      <c r="C119" s="932">
        <v>0</v>
      </c>
      <c r="D119" s="932">
        <v>0</v>
      </c>
      <c r="E119" s="932">
        <v>0</v>
      </c>
      <c r="F119" s="932">
        <v>0</v>
      </c>
      <c r="G119" s="932">
        <v>0</v>
      </c>
      <c r="H119" s="932">
        <v>0</v>
      </c>
      <c r="I119" s="932">
        <v>0</v>
      </c>
      <c r="J119" s="932">
        <v>0</v>
      </c>
      <c r="K119" s="932">
        <v>0</v>
      </c>
      <c r="L119" s="932">
        <v>0</v>
      </c>
      <c r="M119" s="924">
        <v>0</v>
      </c>
    </row>
    <row r="120" spans="1:13" x14ac:dyDescent="0.25">
      <c r="A120" s="473">
        <f t="shared" si="3"/>
        <v>63</v>
      </c>
      <c r="B120" s="934" t="s">
        <v>1388</v>
      </c>
      <c r="C120" s="932">
        <v>0</v>
      </c>
      <c r="D120" s="932">
        <v>0</v>
      </c>
      <c r="E120" s="932">
        <v>0</v>
      </c>
      <c r="F120" s="932">
        <v>0</v>
      </c>
      <c r="G120" s="932">
        <v>0</v>
      </c>
      <c r="H120" s="932">
        <v>0</v>
      </c>
      <c r="I120" s="932">
        <v>0</v>
      </c>
      <c r="J120" s="932">
        <v>0</v>
      </c>
      <c r="K120" s="932">
        <v>0</v>
      </c>
      <c r="L120" s="932">
        <v>0</v>
      </c>
      <c r="M120" s="924">
        <v>0</v>
      </c>
    </row>
    <row r="121" spans="1:13" x14ac:dyDescent="0.25">
      <c r="A121" s="473">
        <f t="shared" si="3"/>
        <v>64</v>
      </c>
      <c r="B121" s="934" t="s">
        <v>1388</v>
      </c>
      <c r="C121" s="932">
        <v>0</v>
      </c>
      <c r="D121" s="932">
        <v>0</v>
      </c>
      <c r="E121" s="932">
        <v>0</v>
      </c>
      <c r="F121" s="932">
        <v>0</v>
      </c>
      <c r="G121" s="932">
        <v>0</v>
      </c>
      <c r="H121" s="932">
        <v>0</v>
      </c>
      <c r="I121" s="932">
        <v>0</v>
      </c>
      <c r="J121" s="932">
        <v>0</v>
      </c>
      <c r="K121" s="932">
        <v>0</v>
      </c>
      <c r="L121" s="932">
        <v>0</v>
      </c>
      <c r="M121" s="924">
        <v>0</v>
      </c>
    </row>
    <row r="122" spans="1:13" x14ac:dyDescent="0.25">
      <c r="A122" s="473">
        <f t="shared" si="3"/>
        <v>65</v>
      </c>
      <c r="B122" s="934" t="s">
        <v>1388</v>
      </c>
      <c r="C122" s="932">
        <v>0</v>
      </c>
      <c r="D122" s="932">
        <v>0</v>
      </c>
      <c r="E122" s="932">
        <v>0</v>
      </c>
      <c r="F122" s="932">
        <v>0</v>
      </c>
      <c r="G122" s="932">
        <v>0</v>
      </c>
      <c r="H122" s="932">
        <v>0</v>
      </c>
      <c r="I122" s="932">
        <v>0</v>
      </c>
      <c r="J122" s="932">
        <v>0</v>
      </c>
      <c r="K122" s="932">
        <v>0</v>
      </c>
      <c r="L122" s="932">
        <v>0</v>
      </c>
      <c r="M122" s="1085">
        <v>0</v>
      </c>
    </row>
    <row r="123" spans="1:13" x14ac:dyDescent="0.25">
      <c r="A123" s="473">
        <f t="shared" si="3"/>
        <v>66</v>
      </c>
      <c r="B123" s="934" t="s">
        <v>1388</v>
      </c>
      <c r="C123" s="932">
        <v>0</v>
      </c>
      <c r="D123" s="932">
        <v>0</v>
      </c>
      <c r="E123" s="932">
        <v>0</v>
      </c>
      <c r="F123" s="932">
        <v>0</v>
      </c>
      <c r="G123" s="932">
        <v>0</v>
      </c>
      <c r="H123" s="932">
        <v>0</v>
      </c>
      <c r="I123" s="932">
        <v>0</v>
      </c>
      <c r="J123" s="932">
        <v>0</v>
      </c>
      <c r="K123" s="932">
        <v>0</v>
      </c>
      <c r="L123" s="932">
        <v>0</v>
      </c>
      <c r="M123" s="924">
        <v>0</v>
      </c>
    </row>
    <row r="125" spans="1:13" x14ac:dyDescent="0.25">
      <c r="B125" s="38" t="s">
        <v>2448</v>
      </c>
      <c r="C125" s="13"/>
      <c r="D125" s="13"/>
      <c r="E125" s="13"/>
      <c r="F125" s="13"/>
      <c r="G125" s="13"/>
    </row>
    <row r="126" spans="1:13" x14ac:dyDescent="0.25">
      <c r="B126" s="13"/>
      <c r="C126" s="13"/>
      <c r="D126" s="13"/>
      <c r="E126" s="13"/>
      <c r="F126" s="13"/>
      <c r="G126" s="13"/>
    </row>
    <row r="127" spans="1:13" x14ac:dyDescent="0.25">
      <c r="A127" s="364"/>
      <c r="B127" s="318" t="s">
        <v>363</v>
      </c>
      <c r="C127" s="318" t="s">
        <v>347</v>
      </c>
      <c r="D127" s="318" t="s">
        <v>348</v>
      </c>
      <c r="E127" s="318" t="s">
        <v>349</v>
      </c>
      <c r="F127" s="318" t="s">
        <v>350</v>
      </c>
      <c r="G127" s="318" t="s">
        <v>351</v>
      </c>
      <c r="H127" s="76" t="s">
        <v>352</v>
      </c>
      <c r="I127" s="76" t="s">
        <v>541</v>
      </c>
      <c r="J127" s="76" t="s">
        <v>955</v>
      </c>
      <c r="K127" s="76" t="s">
        <v>967</v>
      </c>
      <c r="L127" s="76" t="s">
        <v>970</v>
      </c>
      <c r="M127" s="76" t="s">
        <v>988</v>
      </c>
    </row>
    <row r="128" spans="1:13" x14ac:dyDescent="0.25">
      <c r="A128" s="202"/>
      <c r="B128" s="422"/>
      <c r="C128" s="208"/>
      <c r="D128" s="208"/>
      <c r="E128" s="208"/>
      <c r="F128" s="208"/>
      <c r="G128" s="208"/>
      <c r="H128" s="202"/>
      <c r="I128" s="202"/>
      <c r="J128" s="202"/>
      <c r="K128" s="202"/>
      <c r="M128" s="215" t="s">
        <v>1231</v>
      </c>
    </row>
    <row r="129" spans="1:13" x14ac:dyDescent="0.25">
      <c r="A129" s="44"/>
      <c r="B129" s="104" t="s">
        <v>1772</v>
      </c>
      <c r="C129" s="318">
        <v>350.1</v>
      </c>
      <c r="D129" s="318">
        <v>350.2</v>
      </c>
      <c r="E129" s="318">
        <v>352</v>
      </c>
      <c r="F129" s="318">
        <v>353</v>
      </c>
      <c r="G129" s="318">
        <v>354</v>
      </c>
      <c r="H129" s="76">
        <v>355</v>
      </c>
      <c r="I129" s="76">
        <v>356</v>
      </c>
      <c r="J129" s="76">
        <v>357</v>
      </c>
      <c r="K129" s="76">
        <v>358</v>
      </c>
      <c r="L129" s="76">
        <v>359</v>
      </c>
      <c r="M129" s="3" t="s">
        <v>197</v>
      </c>
    </row>
    <row r="130" spans="1:13" x14ac:dyDescent="0.25">
      <c r="A130" s="473">
        <f>A123+1</f>
        <v>67</v>
      </c>
      <c r="B130" s="934" t="s">
        <v>1388</v>
      </c>
      <c r="C130" s="924">
        <v>0</v>
      </c>
      <c r="D130" s="924">
        <v>0</v>
      </c>
      <c r="E130" s="924">
        <v>0</v>
      </c>
      <c r="F130" s="924">
        <v>0</v>
      </c>
      <c r="G130" s="924">
        <v>0</v>
      </c>
      <c r="H130" s="924">
        <v>0</v>
      </c>
      <c r="I130" s="924">
        <v>0</v>
      </c>
      <c r="J130" s="924">
        <v>0</v>
      </c>
      <c r="K130" s="924">
        <v>0</v>
      </c>
      <c r="L130" s="924">
        <v>0</v>
      </c>
      <c r="M130" s="924">
        <v>0</v>
      </c>
    </row>
    <row r="131" spans="1:13" x14ac:dyDescent="0.25">
      <c r="A131" s="473">
        <f t="shared" ref="A131:A142" si="4">A130+1</f>
        <v>68</v>
      </c>
      <c r="B131" s="934" t="s">
        <v>1388</v>
      </c>
      <c r="C131" s="924">
        <v>0</v>
      </c>
      <c r="D131" s="924">
        <v>0</v>
      </c>
      <c r="E131" s="924">
        <v>0</v>
      </c>
      <c r="F131" s="924">
        <v>0</v>
      </c>
      <c r="G131" s="924">
        <v>0</v>
      </c>
      <c r="H131" s="924">
        <v>0</v>
      </c>
      <c r="I131" s="924">
        <v>0</v>
      </c>
      <c r="J131" s="924">
        <v>0</v>
      </c>
      <c r="K131" s="924">
        <v>0</v>
      </c>
      <c r="L131" s="924">
        <v>0</v>
      </c>
      <c r="M131" s="924">
        <v>0</v>
      </c>
    </row>
    <row r="132" spans="1:13" x14ac:dyDescent="0.25">
      <c r="A132" s="473">
        <f t="shared" si="4"/>
        <v>69</v>
      </c>
      <c r="B132" s="934" t="s">
        <v>1388</v>
      </c>
      <c r="C132" s="924">
        <v>0</v>
      </c>
      <c r="D132" s="924">
        <v>0</v>
      </c>
      <c r="E132" s="924">
        <v>0</v>
      </c>
      <c r="F132" s="924">
        <v>0</v>
      </c>
      <c r="G132" s="924">
        <v>0</v>
      </c>
      <c r="H132" s="924">
        <v>0</v>
      </c>
      <c r="I132" s="924">
        <v>0</v>
      </c>
      <c r="J132" s="924">
        <v>0</v>
      </c>
      <c r="K132" s="924">
        <v>0</v>
      </c>
      <c r="L132" s="924">
        <v>0</v>
      </c>
      <c r="M132" s="924">
        <v>0</v>
      </c>
    </row>
    <row r="133" spans="1:13" x14ac:dyDescent="0.25">
      <c r="A133" s="473">
        <f t="shared" si="4"/>
        <v>70</v>
      </c>
      <c r="B133" s="934" t="s">
        <v>1388</v>
      </c>
      <c r="C133" s="924">
        <v>0</v>
      </c>
      <c r="D133" s="924">
        <v>0</v>
      </c>
      <c r="E133" s="924">
        <v>0</v>
      </c>
      <c r="F133" s="924">
        <v>0</v>
      </c>
      <c r="G133" s="924">
        <v>0</v>
      </c>
      <c r="H133" s="924">
        <v>0</v>
      </c>
      <c r="I133" s="924">
        <v>0</v>
      </c>
      <c r="J133" s="924">
        <v>0</v>
      </c>
      <c r="K133" s="924">
        <v>0</v>
      </c>
      <c r="L133" s="924">
        <v>0</v>
      </c>
      <c r="M133" s="924">
        <v>0</v>
      </c>
    </row>
    <row r="134" spans="1:13" x14ac:dyDescent="0.25">
      <c r="A134" s="473">
        <f t="shared" si="4"/>
        <v>71</v>
      </c>
      <c r="B134" s="934" t="s">
        <v>1388</v>
      </c>
      <c r="C134" s="924">
        <v>0</v>
      </c>
      <c r="D134" s="924">
        <v>0</v>
      </c>
      <c r="E134" s="924">
        <v>0</v>
      </c>
      <c r="F134" s="924">
        <v>0</v>
      </c>
      <c r="G134" s="924">
        <v>0</v>
      </c>
      <c r="H134" s="924">
        <v>0</v>
      </c>
      <c r="I134" s="924">
        <v>0</v>
      </c>
      <c r="J134" s="924">
        <v>0</v>
      </c>
      <c r="K134" s="924">
        <v>0</v>
      </c>
      <c r="L134" s="924">
        <v>0</v>
      </c>
      <c r="M134" s="924">
        <v>0</v>
      </c>
    </row>
    <row r="135" spans="1:13" x14ac:dyDescent="0.25">
      <c r="A135" s="473">
        <f t="shared" si="4"/>
        <v>72</v>
      </c>
      <c r="B135" s="934" t="s">
        <v>1388</v>
      </c>
      <c r="C135" s="924">
        <v>0</v>
      </c>
      <c r="D135" s="924">
        <v>0</v>
      </c>
      <c r="E135" s="924">
        <v>0</v>
      </c>
      <c r="F135" s="924">
        <v>0</v>
      </c>
      <c r="G135" s="924">
        <v>0</v>
      </c>
      <c r="H135" s="924">
        <v>0</v>
      </c>
      <c r="I135" s="924">
        <v>0</v>
      </c>
      <c r="J135" s="924">
        <v>0</v>
      </c>
      <c r="K135" s="924">
        <v>0</v>
      </c>
      <c r="L135" s="924">
        <v>0</v>
      </c>
      <c r="M135" s="924">
        <v>0</v>
      </c>
    </row>
    <row r="136" spans="1:13" x14ac:dyDescent="0.25">
      <c r="A136" s="473">
        <f t="shared" si="4"/>
        <v>73</v>
      </c>
      <c r="B136" s="934" t="s">
        <v>1388</v>
      </c>
      <c r="C136" s="924">
        <v>0</v>
      </c>
      <c r="D136" s="924">
        <v>0</v>
      </c>
      <c r="E136" s="924">
        <v>0</v>
      </c>
      <c r="F136" s="924">
        <v>0</v>
      </c>
      <c r="G136" s="924">
        <v>0</v>
      </c>
      <c r="H136" s="924">
        <v>0</v>
      </c>
      <c r="I136" s="924">
        <v>0</v>
      </c>
      <c r="J136" s="924">
        <v>0</v>
      </c>
      <c r="K136" s="924">
        <v>0</v>
      </c>
      <c r="L136" s="924">
        <v>0</v>
      </c>
      <c r="M136" s="924">
        <v>0</v>
      </c>
    </row>
    <row r="137" spans="1:13" x14ac:dyDescent="0.25">
      <c r="A137" s="473">
        <f t="shared" si="4"/>
        <v>74</v>
      </c>
      <c r="B137" s="934" t="s">
        <v>1388</v>
      </c>
      <c r="C137" s="924">
        <v>0</v>
      </c>
      <c r="D137" s="924">
        <v>0</v>
      </c>
      <c r="E137" s="924">
        <v>0</v>
      </c>
      <c r="F137" s="924">
        <v>0</v>
      </c>
      <c r="G137" s="924">
        <v>0</v>
      </c>
      <c r="H137" s="924">
        <v>0</v>
      </c>
      <c r="I137" s="924">
        <v>0</v>
      </c>
      <c r="J137" s="924">
        <v>0</v>
      </c>
      <c r="K137" s="924">
        <v>0</v>
      </c>
      <c r="L137" s="924">
        <v>0</v>
      </c>
      <c r="M137" s="924">
        <v>0</v>
      </c>
    </row>
    <row r="138" spans="1:13" x14ac:dyDescent="0.25">
      <c r="A138" s="473">
        <f t="shared" si="4"/>
        <v>75</v>
      </c>
      <c r="B138" s="934" t="s">
        <v>1388</v>
      </c>
      <c r="C138" s="924">
        <v>0</v>
      </c>
      <c r="D138" s="924">
        <v>0</v>
      </c>
      <c r="E138" s="924">
        <v>0</v>
      </c>
      <c r="F138" s="924">
        <v>0</v>
      </c>
      <c r="G138" s="924">
        <v>0</v>
      </c>
      <c r="H138" s="924">
        <v>0</v>
      </c>
      <c r="I138" s="924">
        <v>0</v>
      </c>
      <c r="J138" s="924">
        <v>0</v>
      </c>
      <c r="K138" s="924">
        <v>0</v>
      </c>
      <c r="L138" s="924">
        <v>0</v>
      </c>
      <c r="M138" s="924">
        <v>0</v>
      </c>
    </row>
    <row r="139" spans="1:13" x14ac:dyDescent="0.25">
      <c r="A139" s="473">
        <f t="shared" si="4"/>
        <v>76</v>
      </c>
      <c r="B139" s="934" t="s">
        <v>1388</v>
      </c>
      <c r="C139" s="924">
        <v>0</v>
      </c>
      <c r="D139" s="924">
        <v>0</v>
      </c>
      <c r="E139" s="924">
        <v>0</v>
      </c>
      <c r="F139" s="924">
        <v>0</v>
      </c>
      <c r="G139" s="924">
        <v>0</v>
      </c>
      <c r="H139" s="924">
        <v>0</v>
      </c>
      <c r="I139" s="924">
        <v>0</v>
      </c>
      <c r="J139" s="924">
        <v>0</v>
      </c>
      <c r="K139" s="924">
        <v>0</v>
      </c>
      <c r="L139" s="924">
        <v>0</v>
      </c>
      <c r="M139" s="924">
        <v>0</v>
      </c>
    </row>
    <row r="140" spans="1:13" x14ac:dyDescent="0.25">
      <c r="A140" s="473">
        <f t="shared" si="4"/>
        <v>77</v>
      </c>
      <c r="B140" s="934" t="s">
        <v>1388</v>
      </c>
      <c r="C140" s="924">
        <v>0</v>
      </c>
      <c r="D140" s="924">
        <v>0</v>
      </c>
      <c r="E140" s="924">
        <v>0</v>
      </c>
      <c r="F140" s="924">
        <v>0</v>
      </c>
      <c r="G140" s="924">
        <v>0</v>
      </c>
      <c r="H140" s="924">
        <v>0</v>
      </c>
      <c r="I140" s="924">
        <v>0</v>
      </c>
      <c r="J140" s="924">
        <v>0</v>
      </c>
      <c r="K140" s="924">
        <v>0</v>
      </c>
      <c r="L140" s="924">
        <v>0</v>
      </c>
      <c r="M140" s="924">
        <v>0</v>
      </c>
    </row>
    <row r="141" spans="1:13" ht="15" x14ac:dyDescent="0.4">
      <c r="A141" s="473">
        <f t="shared" si="4"/>
        <v>78</v>
      </c>
      <c r="B141" s="934" t="s">
        <v>1388</v>
      </c>
      <c r="C141" s="925">
        <v>0</v>
      </c>
      <c r="D141" s="925">
        <v>0</v>
      </c>
      <c r="E141" s="925">
        <v>0</v>
      </c>
      <c r="F141" s="925">
        <v>0</v>
      </c>
      <c r="G141" s="925">
        <v>0</v>
      </c>
      <c r="H141" s="925">
        <v>0</v>
      </c>
      <c r="I141" s="925">
        <v>0</v>
      </c>
      <c r="J141" s="925">
        <v>0</v>
      </c>
      <c r="K141" s="925">
        <v>0</v>
      </c>
      <c r="L141" s="925">
        <v>0</v>
      </c>
      <c r="M141" s="925">
        <v>0</v>
      </c>
    </row>
    <row r="142" spans="1:13" x14ac:dyDescent="0.25">
      <c r="A142" s="473">
        <f t="shared" si="4"/>
        <v>79</v>
      </c>
      <c r="B142" s="476" t="s">
        <v>4</v>
      </c>
      <c r="C142" s="924">
        <v>0</v>
      </c>
      <c r="D142" s="924">
        <v>0</v>
      </c>
      <c r="E142" s="924">
        <v>0</v>
      </c>
      <c r="F142" s="924">
        <v>0</v>
      </c>
      <c r="G142" s="924">
        <v>0</v>
      </c>
      <c r="H142" s="924">
        <v>0</v>
      </c>
      <c r="I142" s="924">
        <v>0</v>
      </c>
      <c r="J142" s="924">
        <v>0</v>
      </c>
      <c r="K142" s="924">
        <v>0</v>
      </c>
      <c r="L142" s="924">
        <v>0</v>
      </c>
      <c r="M142" s="924">
        <v>0</v>
      </c>
    </row>
    <row r="143" spans="1:13" x14ac:dyDescent="0.25">
      <c r="A143" s="547"/>
      <c r="B143" s="476"/>
      <c r="C143" s="924"/>
      <c r="D143" s="924"/>
      <c r="E143" s="924"/>
      <c r="F143" s="924"/>
      <c r="G143" s="924"/>
      <c r="H143" s="924"/>
      <c r="I143" s="924"/>
      <c r="J143" s="924"/>
      <c r="K143" s="924"/>
      <c r="L143" s="924"/>
      <c r="M143" s="924"/>
    </row>
    <row r="144" spans="1:13" x14ac:dyDescent="0.25">
      <c r="B144" s="1083" t="s">
        <v>2449</v>
      </c>
      <c r="C144" s="13"/>
      <c r="D144" s="13"/>
      <c r="E144" s="13"/>
      <c r="F144" s="13"/>
      <c r="G144" s="13"/>
    </row>
    <row r="145" spans="1:13" x14ac:dyDescent="0.25">
      <c r="B145" s="13"/>
      <c r="C145" s="13"/>
      <c r="D145" s="13"/>
      <c r="E145" s="13"/>
      <c r="F145" s="13"/>
      <c r="G145" s="13"/>
    </row>
    <row r="146" spans="1:13" x14ac:dyDescent="0.25">
      <c r="A146" s="364"/>
      <c r="B146" s="318" t="s">
        <v>363</v>
      </c>
      <c r="C146" s="318" t="s">
        <v>347</v>
      </c>
      <c r="D146" s="318" t="s">
        <v>348</v>
      </c>
      <c r="E146" s="318" t="s">
        <v>349</v>
      </c>
      <c r="F146" s="318" t="s">
        <v>350</v>
      </c>
      <c r="G146" s="318" t="s">
        <v>351</v>
      </c>
      <c r="H146" s="76" t="s">
        <v>352</v>
      </c>
      <c r="I146" s="76" t="s">
        <v>541</v>
      </c>
      <c r="J146" s="76" t="s">
        <v>955</v>
      </c>
      <c r="K146" s="76" t="s">
        <v>967</v>
      </c>
      <c r="L146" s="76" t="s">
        <v>970</v>
      </c>
      <c r="M146" s="76" t="s">
        <v>988</v>
      </c>
    </row>
    <row r="147" spans="1:13" x14ac:dyDescent="0.25">
      <c r="A147" s="202"/>
      <c r="B147" s="422"/>
      <c r="C147" s="208"/>
      <c r="D147" s="208"/>
      <c r="E147" s="208"/>
      <c r="F147" s="208"/>
      <c r="G147" s="208"/>
      <c r="H147" s="202"/>
      <c r="I147" s="202"/>
      <c r="J147" s="202"/>
      <c r="K147" s="202"/>
      <c r="M147" s="215" t="s">
        <v>1231</v>
      </c>
    </row>
    <row r="148" spans="1:13" x14ac:dyDescent="0.25">
      <c r="A148" s="44"/>
      <c r="B148" s="104" t="s">
        <v>1772</v>
      </c>
      <c r="C148" s="318">
        <v>350.1</v>
      </c>
      <c r="D148" s="318">
        <v>350.2</v>
      </c>
      <c r="E148" s="318">
        <v>352</v>
      </c>
      <c r="F148" s="318">
        <v>353</v>
      </c>
      <c r="G148" s="318">
        <v>354</v>
      </c>
      <c r="H148" s="76">
        <v>355</v>
      </c>
      <c r="I148" s="76">
        <v>356</v>
      </c>
      <c r="J148" s="76">
        <v>357</v>
      </c>
      <c r="K148" s="76">
        <v>358</v>
      </c>
      <c r="L148" s="76">
        <v>359</v>
      </c>
      <c r="M148" s="3" t="s">
        <v>197</v>
      </c>
    </row>
    <row r="149" spans="1:13" x14ac:dyDescent="0.25">
      <c r="A149" s="547">
        <f>A142+1</f>
        <v>80</v>
      </c>
      <c r="B149" s="934" t="s">
        <v>1388</v>
      </c>
      <c r="C149" s="924">
        <v>0</v>
      </c>
      <c r="D149" s="924">
        <v>0</v>
      </c>
      <c r="E149" s="924">
        <v>0</v>
      </c>
      <c r="F149" s="924">
        <v>0</v>
      </c>
      <c r="G149" s="924">
        <v>0</v>
      </c>
      <c r="H149" s="924">
        <v>0</v>
      </c>
      <c r="I149" s="924">
        <v>0</v>
      </c>
      <c r="J149" s="924">
        <v>0</v>
      </c>
      <c r="K149" s="924">
        <v>0</v>
      </c>
      <c r="L149" s="924">
        <v>0</v>
      </c>
      <c r="M149" s="924">
        <v>0</v>
      </c>
    </row>
    <row r="150" spans="1:13" x14ac:dyDescent="0.25">
      <c r="A150" s="547">
        <f t="shared" ref="A150:A161" si="5">A149+1</f>
        <v>81</v>
      </c>
      <c r="B150" s="934" t="s">
        <v>1388</v>
      </c>
      <c r="C150" s="924">
        <v>0</v>
      </c>
      <c r="D150" s="924">
        <v>0</v>
      </c>
      <c r="E150" s="924">
        <v>0</v>
      </c>
      <c r="F150" s="924">
        <v>0</v>
      </c>
      <c r="G150" s="924">
        <v>0</v>
      </c>
      <c r="H150" s="924">
        <v>0</v>
      </c>
      <c r="I150" s="924">
        <v>0</v>
      </c>
      <c r="J150" s="924">
        <v>0</v>
      </c>
      <c r="K150" s="924">
        <v>0</v>
      </c>
      <c r="L150" s="924">
        <v>0</v>
      </c>
      <c r="M150" s="924">
        <v>0</v>
      </c>
    </row>
    <row r="151" spans="1:13" x14ac:dyDescent="0.25">
      <c r="A151" s="547">
        <f t="shared" si="5"/>
        <v>82</v>
      </c>
      <c r="B151" s="934" t="s">
        <v>1388</v>
      </c>
      <c r="C151" s="924">
        <v>0</v>
      </c>
      <c r="D151" s="924">
        <v>0</v>
      </c>
      <c r="E151" s="924">
        <v>0</v>
      </c>
      <c r="F151" s="924">
        <v>0</v>
      </c>
      <c r="G151" s="924">
        <v>0</v>
      </c>
      <c r="H151" s="924">
        <v>0</v>
      </c>
      <c r="I151" s="924">
        <v>0</v>
      </c>
      <c r="J151" s="924">
        <v>0</v>
      </c>
      <c r="K151" s="924">
        <v>0</v>
      </c>
      <c r="L151" s="924">
        <v>0</v>
      </c>
      <c r="M151" s="924">
        <v>0</v>
      </c>
    </row>
    <row r="152" spans="1:13" x14ac:dyDescent="0.25">
      <c r="A152" s="547">
        <f t="shared" si="5"/>
        <v>83</v>
      </c>
      <c r="B152" s="934" t="s">
        <v>1388</v>
      </c>
      <c r="C152" s="924">
        <v>0</v>
      </c>
      <c r="D152" s="924">
        <v>0</v>
      </c>
      <c r="E152" s="924">
        <v>0</v>
      </c>
      <c r="F152" s="924">
        <v>0</v>
      </c>
      <c r="G152" s="924">
        <v>0</v>
      </c>
      <c r="H152" s="924">
        <v>0</v>
      </c>
      <c r="I152" s="924">
        <v>0</v>
      </c>
      <c r="J152" s="924">
        <v>0</v>
      </c>
      <c r="K152" s="924">
        <v>0</v>
      </c>
      <c r="L152" s="924">
        <v>0</v>
      </c>
      <c r="M152" s="924">
        <v>0</v>
      </c>
    </row>
    <row r="153" spans="1:13" x14ac:dyDescent="0.25">
      <c r="A153" s="547">
        <f t="shared" si="5"/>
        <v>84</v>
      </c>
      <c r="B153" s="934" t="s">
        <v>1388</v>
      </c>
      <c r="C153" s="924">
        <v>0</v>
      </c>
      <c r="D153" s="924">
        <v>0</v>
      </c>
      <c r="E153" s="924">
        <v>0</v>
      </c>
      <c r="F153" s="924">
        <v>0</v>
      </c>
      <c r="G153" s="924">
        <v>0</v>
      </c>
      <c r="H153" s="924">
        <v>0</v>
      </c>
      <c r="I153" s="924">
        <v>0</v>
      </c>
      <c r="J153" s="924">
        <v>0</v>
      </c>
      <c r="K153" s="924">
        <v>0</v>
      </c>
      <c r="L153" s="924">
        <v>0</v>
      </c>
      <c r="M153" s="924">
        <v>0</v>
      </c>
    </row>
    <row r="154" spans="1:13" x14ac:dyDescent="0.25">
      <c r="A154" s="547">
        <f t="shared" si="5"/>
        <v>85</v>
      </c>
      <c r="B154" s="934" t="s">
        <v>1388</v>
      </c>
      <c r="C154" s="924">
        <v>0</v>
      </c>
      <c r="D154" s="924">
        <v>0</v>
      </c>
      <c r="E154" s="924">
        <v>0</v>
      </c>
      <c r="F154" s="924">
        <v>0</v>
      </c>
      <c r="G154" s="924">
        <v>0</v>
      </c>
      <c r="H154" s="924">
        <v>0</v>
      </c>
      <c r="I154" s="924">
        <v>0</v>
      </c>
      <c r="J154" s="924">
        <v>0</v>
      </c>
      <c r="K154" s="924">
        <v>0</v>
      </c>
      <c r="L154" s="924">
        <v>0</v>
      </c>
      <c r="M154" s="924">
        <v>0</v>
      </c>
    </row>
    <row r="155" spans="1:13" x14ac:dyDescent="0.25">
      <c r="A155" s="547">
        <f t="shared" si="5"/>
        <v>86</v>
      </c>
      <c r="B155" s="934" t="s">
        <v>1388</v>
      </c>
      <c r="C155" s="924">
        <v>0</v>
      </c>
      <c r="D155" s="924">
        <v>0</v>
      </c>
      <c r="E155" s="924">
        <v>0</v>
      </c>
      <c r="F155" s="924">
        <v>0</v>
      </c>
      <c r="G155" s="924">
        <v>0</v>
      </c>
      <c r="H155" s="924">
        <v>0</v>
      </c>
      <c r="I155" s="924">
        <v>0</v>
      </c>
      <c r="J155" s="924">
        <v>0</v>
      </c>
      <c r="K155" s="924">
        <v>0</v>
      </c>
      <c r="L155" s="924">
        <v>0</v>
      </c>
      <c r="M155" s="924">
        <v>0</v>
      </c>
    </row>
    <row r="156" spans="1:13" x14ac:dyDescent="0.25">
      <c r="A156" s="547">
        <f t="shared" si="5"/>
        <v>87</v>
      </c>
      <c r="B156" s="934" t="s">
        <v>1388</v>
      </c>
      <c r="C156" s="924">
        <v>0</v>
      </c>
      <c r="D156" s="924">
        <v>0</v>
      </c>
      <c r="E156" s="924">
        <v>0</v>
      </c>
      <c r="F156" s="924">
        <v>0</v>
      </c>
      <c r="G156" s="924">
        <v>0</v>
      </c>
      <c r="H156" s="924">
        <v>0</v>
      </c>
      <c r="I156" s="924">
        <v>0</v>
      </c>
      <c r="J156" s="924">
        <v>0</v>
      </c>
      <c r="K156" s="924">
        <v>0</v>
      </c>
      <c r="L156" s="924">
        <v>0</v>
      </c>
      <c r="M156" s="924">
        <v>0</v>
      </c>
    </row>
    <row r="157" spans="1:13" x14ac:dyDescent="0.25">
      <c r="A157" s="547">
        <f t="shared" si="5"/>
        <v>88</v>
      </c>
      <c r="B157" s="934" t="s">
        <v>1388</v>
      </c>
      <c r="C157" s="924">
        <v>0</v>
      </c>
      <c r="D157" s="924">
        <v>0</v>
      </c>
      <c r="E157" s="924">
        <v>0</v>
      </c>
      <c r="F157" s="924">
        <v>0</v>
      </c>
      <c r="G157" s="924">
        <v>0</v>
      </c>
      <c r="H157" s="924">
        <v>0</v>
      </c>
      <c r="I157" s="924">
        <v>0</v>
      </c>
      <c r="J157" s="924">
        <v>0</v>
      </c>
      <c r="K157" s="924">
        <v>0</v>
      </c>
      <c r="L157" s="924">
        <v>0</v>
      </c>
      <c r="M157" s="924">
        <v>0</v>
      </c>
    </row>
    <row r="158" spans="1:13" x14ac:dyDescent="0.25">
      <c r="A158" s="547">
        <f t="shared" si="5"/>
        <v>89</v>
      </c>
      <c r="B158" s="934" t="s">
        <v>1388</v>
      </c>
      <c r="C158" s="924">
        <v>0</v>
      </c>
      <c r="D158" s="924">
        <v>0</v>
      </c>
      <c r="E158" s="924">
        <v>0</v>
      </c>
      <c r="F158" s="924">
        <v>0</v>
      </c>
      <c r="G158" s="924">
        <v>0</v>
      </c>
      <c r="H158" s="924">
        <v>0</v>
      </c>
      <c r="I158" s="924">
        <v>0</v>
      </c>
      <c r="J158" s="924">
        <v>0</v>
      </c>
      <c r="K158" s="924">
        <v>0</v>
      </c>
      <c r="L158" s="924">
        <v>0</v>
      </c>
      <c r="M158" s="924">
        <v>0</v>
      </c>
    </row>
    <row r="159" spans="1:13" x14ac:dyDescent="0.25">
      <c r="A159" s="547">
        <f t="shared" si="5"/>
        <v>90</v>
      </c>
      <c r="B159" s="934" t="s">
        <v>1388</v>
      </c>
      <c r="C159" s="924">
        <v>0</v>
      </c>
      <c r="D159" s="924">
        <v>0</v>
      </c>
      <c r="E159" s="924">
        <v>0</v>
      </c>
      <c r="F159" s="924">
        <v>0</v>
      </c>
      <c r="G159" s="924">
        <v>0</v>
      </c>
      <c r="H159" s="924">
        <v>0</v>
      </c>
      <c r="I159" s="924">
        <v>0</v>
      </c>
      <c r="J159" s="924">
        <v>0</v>
      </c>
      <c r="K159" s="924">
        <v>0</v>
      </c>
      <c r="L159" s="924">
        <v>0</v>
      </c>
      <c r="M159" s="924">
        <v>0</v>
      </c>
    </row>
    <row r="160" spans="1:13" ht="15" x14ac:dyDescent="0.4">
      <c r="A160" s="547">
        <f t="shared" si="5"/>
        <v>91</v>
      </c>
      <c r="B160" s="934" t="s">
        <v>1388</v>
      </c>
      <c r="C160" s="925">
        <v>0</v>
      </c>
      <c r="D160" s="925">
        <v>0</v>
      </c>
      <c r="E160" s="925">
        <v>0</v>
      </c>
      <c r="F160" s="925">
        <v>0</v>
      </c>
      <c r="G160" s="925">
        <v>0</v>
      </c>
      <c r="H160" s="925">
        <v>0</v>
      </c>
      <c r="I160" s="925">
        <v>0</v>
      </c>
      <c r="J160" s="925">
        <v>0</v>
      </c>
      <c r="K160" s="925">
        <v>0</v>
      </c>
      <c r="L160" s="925">
        <v>0</v>
      </c>
      <c r="M160" s="925">
        <v>0</v>
      </c>
    </row>
    <row r="161" spans="1:13" x14ac:dyDescent="0.25">
      <c r="A161" s="547">
        <f t="shared" si="5"/>
        <v>92</v>
      </c>
      <c r="B161" s="1084" t="s">
        <v>4</v>
      </c>
      <c r="C161" s="924">
        <v>0</v>
      </c>
      <c r="D161" s="924">
        <v>0</v>
      </c>
      <c r="E161" s="924">
        <v>0</v>
      </c>
      <c r="F161" s="924">
        <v>0</v>
      </c>
      <c r="G161" s="924">
        <v>0</v>
      </c>
      <c r="H161" s="924">
        <v>0</v>
      </c>
      <c r="I161" s="924">
        <v>0</v>
      </c>
      <c r="J161" s="924">
        <v>0</v>
      </c>
      <c r="K161" s="924">
        <v>0</v>
      </c>
      <c r="L161" s="924">
        <v>0</v>
      </c>
      <c r="M161" s="924">
        <v>0</v>
      </c>
    </row>
    <row r="162" spans="1:13" x14ac:dyDescent="0.25">
      <c r="A162" s="547"/>
      <c r="B162" s="1084"/>
      <c r="C162" s="924"/>
      <c r="D162" s="924"/>
      <c r="E162" s="924"/>
      <c r="F162" s="924"/>
      <c r="G162" s="924"/>
      <c r="H162" s="924"/>
      <c r="I162" s="924"/>
      <c r="J162" s="924"/>
      <c r="K162" s="924"/>
      <c r="L162" s="924"/>
      <c r="M162" s="924"/>
    </row>
    <row r="163" spans="1:13" s="443" customFormat="1" x14ac:dyDescent="0.25">
      <c r="B163" s="38" t="s">
        <v>2450</v>
      </c>
      <c r="M163" s="924"/>
    </row>
    <row r="164" spans="1:13" s="443" customFormat="1" x14ac:dyDescent="0.25">
      <c r="M164" s="924"/>
    </row>
    <row r="165" spans="1:13" s="443" customFormat="1" x14ac:dyDescent="0.25">
      <c r="B165" s="94" t="s">
        <v>1772</v>
      </c>
      <c r="C165" s="863">
        <v>350.1</v>
      </c>
      <c r="D165" s="863">
        <v>350.2</v>
      </c>
      <c r="E165" s="863">
        <v>352</v>
      </c>
      <c r="F165" s="863">
        <v>353</v>
      </c>
      <c r="G165" s="863">
        <v>354</v>
      </c>
      <c r="H165" s="4">
        <v>355</v>
      </c>
      <c r="I165" s="4">
        <v>356</v>
      </c>
      <c r="J165" s="4">
        <v>357</v>
      </c>
      <c r="K165" s="4">
        <v>358</v>
      </c>
      <c r="L165" s="4">
        <v>359</v>
      </c>
      <c r="M165" s="924"/>
    </row>
    <row r="166" spans="1:13" s="443" customFormat="1" x14ac:dyDescent="0.25">
      <c r="A166" s="547">
        <f>A161+1</f>
        <v>93</v>
      </c>
      <c r="B166" s="934" t="s">
        <v>1388</v>
      </c>
      <c r="C166" s="926" t="s">
        <v>2193</v>
      </c>
      <c r="D166" s="926" t="s">
        <v>2193</v>
      </c>
      <c r="E166" s="926" t="s">
        <v>2193</v>
      </c>
      <c r="F166" s="926" t="s">
        <v>2193</v>
      </c>
      <c r="G166" s="926" t="s">
        <v>2193</v>
      </c>
      <c r="H166" s="926" t="s">
        <v>2193</v>
      </c>
      <c r="I166" s="926" t="s">
        <v>2193</v>
      </c>
      <c r="J166" s="926" t="s">
        <v>2193</v>
      </c>
      <c r="K166" s="926" t="s">
        <v>2193</v>
      </c>
      <c r="L166" s="926" t="s">
        <v>2193</v>
      </c>
      <c r="M166" s="924"/>
    </row>
    <row r="167" spans="1:13" s="443" customFormat="1" x14ac:dyDescent="0.25">
      <c r="A167" s="547">
        <f t="shared" ref="A167:A177" si="6">A166+1</f>
        <v>94</v>
      </c>
      <c r="B167" s="934" t="s">
        <v>1388</v>
      </c>
      <c r="C167" s="926" t="s">
        <v>2193</v>
      </c>
      <c r="D167" s="926" t="s">
        <v>2193</v>
      </c>
      <c r="E167" s="926" t="s">
        <v>2193</v>
      </c>
      <c r="F167" s="926" t="s">
        <v>2193</v>
      </c>
      <c r="G167" s="926" t="s">
        <v>2193</v>
      </c>
      <c r="H167" s="926" t="s">
        <v>2193</v>
      </c>
      <c r="I167" s="926" t="s">
        <v>2193</v>
      </c>
      <c r="J167" s="926" t="s">
        <v>2193</v>
      </c>
      <c r="K167" s="926" t="s">
        <v>2193</v>
      </c>
      <c r="L167" s="926" t="s">
        <v>2193</v>
      </c>
      <c r="M167" s="924"/>
    </row>
    <row r="168" spans="1:13" s="443" customFormat="1" x14ac:dyDescent="0.25">
      <c r="A168" s="547">
        <f t="shared" si="6"/>
        <v>95</v>
      </c>
      <c r="B168" s="934" t="s">
        <v>1388</v>
      </c>
      <c r="C168" s="926" t="s">
        <v>2193</v>
      </c>
      <c r="D168" s="926" t="s">
        <v>2193</v>
      </c>
      <c r="E168" s="926" t="s">
        <v>2193</v>
      </c>
      <c r="F168" s="926" t="s">
        <v>2193</v>
      </c>
      <c r="G168" s="926" t="s">
        <v>2193</v>
      </c>
      <c r="H168" s="926" t="s">
        <v>2193</v>
      </c>
      <c r="I168" s="926" t="s">
        <v>2193</v>
      </c>
      <c r="J168" s="926" t="s">
        <v>2193</v>
      </c>
      <c r="K168" s="926" t="s">
        <v>2193</v>
      </c>
      <c r="L168" s="926" t="s">
        <v>2193</v>
      </c>
      <c r="M168" s="924"/>
    </row>
    <row r="169" spans="1:13" s="443" customFormat="1" x14ac:dyDescent="0.25">
      <c r="A169" s="547">
        <f t="shared" si="6"/>
        <v>96</v>
      </c>
      <c r="B169" s="934" t="s">
        <v>1388</v>
      </c>
      <c r="C169" s="926" t="s">
        <v>2193</v>
      </c>
      <c r="D169" s="926" t="s">
        <v>2193</v>
      </c>
      <c r="E169" s="926" t="s">
        <v>2193</v>
      </c>
      <c r="F169" s="926" t="s">
        <v>2193</v>
      </c>
      <c r="G169" s="926" t="s">
        <v>2193</v>
      </c>
      <c r="H169" s="926" t="s">
        <v>2193</v>
      </c>
      <c r="I169" s="926" t="s">
        <v>2193</v>
      </c>
      <c r="J169" s="926" t="s">
        <v>2193</v>
      </c>
      <c r="K169" s="926" t="s">
        <v>2193</v>
      </c>
      <c r="L169" s="926" t="s">
        <v>2193</v>
      </c>
      <c r="M169" s="924"/>
    </row>
    <row r="170" spans="1:13" s="443" customFormat="1" x14ac:dyDescent="0.25">
      <c r="A170" s="547">
        <f t="shared" si="6"/>
        <v>97</v>
      </c>
      <c r="B170" s="934" t="s">
        <v>1388</v>
      </c>
      <c r="C170" s="926" t="s">
        <v>2193</v>
      </c>
      <c r="D170" s="926" t="s">
        <v>2193</v>
      </c>
      <c r="E170" s="926" t="s">
        <v>2193</v>
      </c>
      <c r="F170" s="926" t="s">
        <v>2193</v>
      </c>
      <c r="G170" s="926" t="s">
        <v>2193</v>
      </c>
      <c r="H170" s="926" t="s">
        <v>2193</v>
      </c>
      <c r="I170" s="926" t="s">
        <v>2193</v>
      </c>
      <c r="J170" s="926" t="s">
        <v>2193</v>
      </c>
      <c r="K170" s="926" t="s">
        <v>2193</v>
      </c>
      <c r="L170" s="926" t="s">
        <v>2193</v>
      </c>
      <c r="M170" s="924"/>
    </row>
    <row r="171" spans="1:13" s="443" customFormat="1" x14ac:dyDescent="0.25">
      <c r="A171" s="547">
        <f t="shared" si="6"/>
        <v>98</v>
      </c>
      <c r="B171" s="934" t="s">
        <v>1388</v>
      </c>
      <c r="C171" s="926" t="s">
        <v>2193</v>
      </c>
      <c r="D171" s="926" t="s">
        <v>2193</v>
      </c>
      <c r="E171" s="926" t="s">
        <v>2193</v>
      </c>
      <c r="F171" s="926" t="s">
        <v>2193</v>
      </c>
      <c r="G171" s="926" t="s">
        <v>2193</v>
      </c>
      <c r="H171" s="926" t="s">
        <v>2193</v>
      </c>
      <c r="I171" s="926" t="s">
        <v>2193</v>
      </c>
      <c r="J171" s="926" t="s">
        <v>2193</v>
      </c>
      <c r="K171" s="926" t="s">
        <v>2193</v>
      </c>
      <c r="L171" s="926" t="s">
        <v>2193</v>
      </c>
      <c r="M171" s="924"/>
    </row>
    <row r="172" spans="1:13" s="443" customFormat="1" x14ac:dyDescent="0.25">
      <c r="A172" s="547">
        <f t="shared" si="6"/>
        <v>99</v>
      </c>
      <c r="B172" s="934" t="s">
        <v>1388</v>
      </c>
      <c r="C172" s="926" t="s">
        <v>2193</v>
      </c>
      <c r="D172" s="926" t="s">
        <v>2193</v>
      </c>
      <c r="E172" s="926" t="s">
        <v>2193</v>
      </c>
      <c r="F172" s="926" t="s">
        <v>2193</v>
      </c>
      <c r="G172" s="926" t="s">
        <v>2193</v>
      </c>
      <c r="H172" s="926" t="s">
        <v>2193</v>
      </c>
      <c r="I172" s="926" t="s">
        <v>2193</v>
      </c>
      <c r="J172" s="926" t="s">
        <v>2193</v>
      </c>
      <c r="K172" s="926" t="s">
        <v>2193</v>
      </c>
      <c r="L172" s="926" t="s">
        <v>2193</v>
      </c>
      <c r="M172" s="924"/>
    </row>
    <row r="173" spans="1:13" s="443" customFormat="1" x14ac:dyDescent="0.25">
      <c r="A173" s="547">
        <f t="shared" si="6"/>
        <v>100</v>
      </c>
      <c r="B173" s="934" t="s">
        <v>1388</v>
      </c>
      <c r="C173" s="926" t="s">
        <v>2193</v>
      </c>
      <c r="D173" s="926" t="s">
        <v>2193</v>
      </c>
      <c r="E173" s="926" t="s">
        <v>2193</v>
      </c>
      <c r="F173" s="926" t="s">
        <v>2193</v>
      </c>
      <c r="G173" s="926" t="s">
        <v>2193</v>
      </c>
      <c r="H173" s="926" t="s">
        <v>2193</v>
      </c>
      <c r="I173" s="926" t="s">
        <v>2193</v>
      </c>
      <c r="J173" s="926" t="s">
        <v>2193</v>
      </c>
      <c r="K173" s="926" t="s">
        <v>2193</v>
      </c>
      <c r="L173" s="926" t="s">
        <v>2193</v>
      </c>
      <c r="M173" s="924"/>
    </row>
    <row r="174" spans="1:13" s="443" customFormat="1" x14ac:dyDescent="0.25">
      <c r="A174" s="547">
        <f t="shared" si="6"/>
        <v>101</v>
      </c>
      <c r="B174" s="934" t="s">
        <v>1388</v>
      </c>
      <c r="C174" s="926" t="s">
        <v>2193</v>
      </c>
      <c r="D174" s="926" t="s">
        <v>2193</v>
      </c>
      <c r="E174" s="926" t="s">
        <v>2193</v>
      </c>
      <c r="F174" s="926" t="s">
        <v>2193</v>
      </c>
      <c r="G174" s="926" t="s">
        <v>2193</v>
      </c>
      <c r="H174" s="926" t="s">
        <v>2193</v>
      </c>
      <c r="I174" s="926" t="s">
        <v>2193</v>
      </c>
      <c r="J174" s="926" t="s">
        <v>2193</v>
      </c>
      <c r="K174" s="926" t="s">
        <v>2193</v>
      </c>
      <c r="L174" s="926" t="s">
        <v>2193</v>
      </c>
      <c r="M174" s="924"/>
    </row>
    <row r="175" spans="1:13" s="443" customFormat="1" x14ac:dyDescent="0.25">
      <c r="A175" s="547">
        <f t="shared" si="6"/>
        <v>102</v>
      </c>
      <c r="B175" s="934" t="s">
        <v>1388</v>
      </c>
      <c r="C175" s="926" t="s">
        <v>2193</v>
      </c>
      <c r="D175" s="926" t="s">
        <v>2193</v>
      </c>
      <c r="E175" s="926" t="s">
        <v>2193</v>
      </c>
      <c r="F175" s="926" t="s">
        <v>2193</v>
      </c>
      <c r="G175" s="926" t="s">
        <v>2193</v>
      </c>
      <c r="H175" s="926" t="s">
        <v>2193</v>
      </c>
      <c r="I175" s="926" t="s">
        <v>2193</v>
      </c>
      <c r="J175" s="926" t="s">
        <v>2193</v>
      </c>
      <c r="K175" s="926" t="s">
        <v>2193</v>
      </c>
      <c r="L175" s="926" t="s">
        <v>2193</v>
      </c>
      <c r="M175" s="924"/>
    </row>
    <row r="176" spans="1:13" s="443" customFormat="1" x14ac:dyDescent="0.25">
      <c r="A176" s="547">
        <f t="shared" si="6"/>
        <v>103</v>
      </c>
      <c r="B176" s="934" t="s">
        <v>1388</v>
      </c>
      <c r="C176" s="926" t="s">
        <v>2193</v>
      </c>
      <c r="D176" s="926" t="s">
        <v>2193</v>
      </c>
      <c r="E176" s="926" t="s">
        <v>2193</v>
      </c>
      <c r="F176" s="926" t="s">
        <v>2193</v>
      </c>
      <c r="G176" s="926" t="s">
        <v>2193</v>
      </c>
      <c r="H176" s="926" t="s">
        <v>2193</v>
      </c>
      <c r="I176" s="926" t="s">
        <v>2193</v>
      </c>
      <c r="J176" s="926" t="s">
        <v>2193</v>
      </c>
      <c r="K176" s="926" t="s">
        <v>2193</v>
      </c>
      <c r="L176" s="926" t="s">
        <v>2193</v>
      </c>
      <c r="M176" s="924"/>
    </row>
    <row r="177" spans="1:13" s="443" customFormat="1" x14ac:dyDescent="0.25">
      <c r="A177" s="547">
        <f t="shared" si="6"/>
        <v>104</v>
      </c>
      <c r="B177" s="934" t="s">
        <v>1388</v>
      </c>
      <c r="C177" s="926" t="s">
        <v>2193</v>
      </c>
      <c r="D177" s="926" t="s">
        <v>2193</v>
      </c>
      <c r="E177" s="926" t="s">
        <v>2193</v>
      </c>
      <c r="F177" s="926" t="s">
        <v>2193</v>
      </c>
      <c r="G177" s="926" t="s">
        <v>2193</v>
      </c>
      <c r="H177" s="926" t="s">
        <v>2193</v>
      </c>
      <c r="I177" s="926" t="s">
        <v>2193</v>
      </c>
      <c r="J177" s="926" t="s">
        <v>2193</v>
      </c>
      <c r="K177" s="926" t="s">
        <v>2193</v>
      </c>
      <c r="L177" s="926" t="s">
        <v>2193</v>
      </c>
      <c r="M177" s="924"/>
    </row>
    <row r="178" spans="1:13" x14ac:dyDescent="0.25">
      <c r="A178" s="547"/>
      <c r="B178" s="1084"/>
      <c r="C178" s="924"/>
      <c r="D178" s="924"/>
      <c r="E178" s="924"/>
      <c r="F178" s="924"/>
      <c r="G178" s="924"/>
      <c r="H178" s="924"/>
      <c r="I178" s="924"/>
      <c r="J178" s="924"/>
      <c r="K178" s="924"/>
      <c r="L178" s="924"/>
      <c r="M178" s="924"/>
    </row>
    <row r="179" spans="1:13" x14ac:dyDescent="0.25">
      <c r="B179" s="1" t="s">
        <v>2451</v>
      </c>
    </row>
    <row r="180" spans="1:13" x14ac:dyDescent="0.25">
      <c r="B180" s="447" t="s">
        <v>2452</v>
      </c>
    </row>
    <row r="181" spans="1:13" x14ac:dyDescent="0.25">
      <c r="B181" s="15"/>
      <c r="C181" s="76">
        <v>350.1</v>
      </c>
      <c r="D181" s="76">
        <v>350.2</v>
      </c>
      <c r="E181" s="76">
        <v>352</v>
      </c>
      <c r="F181" s="76">
        <v>353</v>
      </c>
      <c r="G181" s="76">
        <v>354</v>
      </c>
      <c r="H181" s="76">
        <v>355</v>
      </c>
      <c r="I181" s="76">
        <v>356</v>
      </c>
      <c r="J181" s="76">
        <v>357</v>
      </c>
      <c r="K181" s="76">
        <v>358</v>
      </c>
      <c r="L181" s="76">
        <v>359</v>
      </c>
      <c r="M181" s="3" t="s">
        <v>197</v>
      </c>
    </row>
    <row r="182" spans="1:13" x14ac:dyDescent="0.25">
      <c r="A182" s="473">
        <f>A177+1</f>
        <v>105</v>
      </c>
      <c r="B182" s="15"/>
      <c r="C182" s="924">
        <v>0</v>
      </c>
      <c r="D182" s="924">
        <v>0</v>
      </c>
      <c r="E182" s="924">
        <v>0</v>
      </c>
      <c r="F182" s="924">
        <v>0</v>
      </c>
      <c r="G182" s="924">
        <v>0</v>
      </c>
      <c r="H182" s="924">
        <v>0</v>
      </c>
      <c r="I182" s="924">
        <v>0</v>
      </c>
      <c r="J182" s="924">
        <v>0</v>
      </c>
      <c r="K182" s="924">
        <v>0</v>
      </c>
      <c r="L182" s="924">
        <v>0</v>
      </c>
      <c r="M182" s="924">
        <v>0</v>
      </c>
    </row>
    <row r="183" spans="1:13" x14ac:dyDescent="0.25">
      <c r="B183" s="15"/>
      <c r="C183" s="6"/>
      <c r="D183" s="6"/>
      <c r="E183" s="6"/>
      <c r="F183" s="6"/>
      <c r="G183" s="6"/>
      <c r="H183" s="6"/>
      <c r="I183" s="6"/>
      <c r="J183" s="6"/>
      <c r="K183" s="6"/>
      <c r="L183" s="6"/>
      <c r="M183" s="6"/>
    </row>
    <row r="184" spans="1:13" x14ac:dyDescent="0.25">
      <c r="B184" s="447" t="s">
        <v>2453</v>
      </c>
      <c r="C184" s="6"/>
      <c r="D184" s="6"/>
      <c r="E184" s="6"/>
      <c r="F184" s="6"/>
      <c r="G184" s="6"/>
      <c r="H184" s="6"/>
      <c r="I184" s="6"/>
      <c r="J184" s="6"/>
      <c r="K184" s="6"/>
      <c r="L184" s="6"/>
      <c r="M184" s="6"/>
    </row>
    <row r="185" spans="1:13" x14ac:dyDescent="0.25">
      <c r="B185" s="15"/>
      <c r="C185" s="76">
        <v>350.1</v>
      </c>
      <c r="D185" s="76">
        <v>350.2</v>
      </c>
      <c r="E185" s="76">
        <v>352</v>
      </c>
      <c r="F185" s="76">
        <v>353</v>
      </c>
      <c r="G185" s="76">
        <v>354</v>
      </c>
      <c r="H185" s="76">
        <v>355</v>
      </c>
      <c r="I185" s="76">
        <v>356</v>
      </c>
      <c r="J185" s="76">
        <v>357</v>
      </c>
      <c r="K185" s="76">
        <v>358</v>
      </c>
      <c r="L185" s="76">
        <v>359</v>
      </c>
      <c r="M185" s="3" t="s">
        <v>197</v>
      </c>
    </row>
    <row r="186" spans="1:13" x14ac:dyDescent="0.25">
      <c r="A186" s="473">
        <f>A182+1</f>
        <v>106</v>
      </c>
      <c r="B186" s="15"/>
      <c r="C186" s="924">
        <v>0</v>
      </c>
      <c r="D186" s="924">
        <v>0</v>
      </c>
      <c r="E186" s="924">
        <v>0</v>
      </c>
      <c r="F186" s="924">
        <v>0</v>
      </c>
      <c r="G186" s="924">
        <v>0</v>
      </c>
      <c r="H186" s="924">
        <v>0</v>
      </c>
      <c r="I186" s="924">
        <v>0</v>
      </c>
      <c r="J186" s="924">
        <v>0</v>
      </c>
      <c r="K186" s="924">
        <v>0</v>
      </c>
      <c r="L186" s="924">
        <v>0</v>
      </c>
      <c r="M186" s="924">
        <v>0</v>
      </c>
    </row>
    <row r="187" spans="1:13" x14ac:dyDescent="0.25">
      <c r="B187" s="15"/>
      <c r="C187" s="6"/>
      <c r="D187" s="6"/>
      <c r="E187" s="6"/>
      <c r="F187" s="6"/>
      <c r="G187" s="6"/>
      <c r="H187" s="6"/>
      <c r="I187" s="6"/>
      <c r="J187" s="6"/>
      <c r="K187" s="6"/>
      <c r="L187" s="6"/>
      <c r="M187" s="6"/>
    </row>
    <row r="188" spans="1:13" x14ac:dyDescent="0.25">
      <c r="B188" s="447" t="s">
        <v>2454</v>
      </c>
      <c r="C188" s="6"/>
      <c r="D188" s="6"/>
      <c r="E188" s="6"/>
      <c r="F188" s="6"/>
      <c r="G188" s="6"/>
      <c r="H188" s="6"/>
      <c r="I188" s="6"/>
      <c r="J188" s="6"/>
      <c r="K188" s="6"/>
      <c r="L188" s="6"/>
      <c r="M188" s="6"/>
    </row>
    <row r="189" spans="1:13" x14ac:dyDescent="0.25">
      <c r="C189" s="76">
        <v>350.1</v>
      </c>
      <c r="D189" s="76">
        <v>350.2</v>
      </c>
      <c r="E189" s="76">
        <v>352</v>
      </c>
      <c r="F189" s="76">
        <v>353</v>
      </c>
      <c r="G189" s="76">
        <v>354</v>
      </c>
      <c r="H189" s="76">
        <v>355</v>
      </c>
      <c r="I189" s="76">
        <v>356</v>
      </c>
      <c r="J189" s="76">
        <v>357</v>
      </c>
      <c r="K189" s="76">
        <v>358</v>
      </c>
      <c r="L189" s="76">
        <v>359</v>
      </c>
      <c r="M189" s="3" t="s">
        <v>197</v>
      </c>
    </row>
    <row r="190" spans="1:13" x14ac:dyDescent="0.25">
      <c r="A190" s="473">
        <f>A186+1</f>
        <v>107</v>
      </c>
      <c r="C190" s="924">
        <v>0</v>
      </c>
      <c r="D190" s="924">
        <v>0</v>
      </c>
      <c r="E190" s="924">
        <v>0</v>
      </c>
      <c r="F190" s="924">
        <v>0</v>
      </c>
      <c r="G190" s="924">
        <v>0</v>
      </c>
      <c r="H190" s="924">
        <v>0</v>
      </c>
      <c r="I190" s="924">
        <v>0</v>
      </c>
      <c r="J190" s="924">
        <v>0</v>
      </c>
      <c r="K190" s="924">
        <v>0</v>
      </c>
      <c r="L190" s="924">
        <v>0</v>
      </c>
      <c r="M190" s="924">
        <v>0</v>
      </c>
    </row>
    <row r="192" spans="1:13" x14ac:dyDescent="0.25">
      <c r="B192" s="38" t="s">
        <v>2455</v>
      </c>
      <c r="C192" s="13"/>
      <c r="D192" s="13"/>
      <c r="E192" s="13"/>
      <c r="F192" s="13"/>
      <c r="G192" s="13"/>
    </row>
    <row r="193" spans="1:13" x14ac:dyDescent="0.25">
      <c r="A193" s="364"/>
      <c r="B193" s="318" t="s">
        <v>363</v>
      </c>
      <c r="C193" s="318" t="s">
        <v>347</v>
      </c>
      <c r="D193" s="318" t="s">
        <v>348</v>
      </c>
      <c r="E193" s="318" t="s">
        <v>349</v>
      </c>
      <c r="F193" s="318" t="s">
        <v>350</v>
      </c>
      <c r="G193" s="318" t="s">
        <v>351</v>
      </c>
      <c r="H193" s="76" t="s">
        <v>352</v>
      </c>
      <c r="I193" s="76" t="s">
        <v>541</v>
      </c>
      <c r="J193" s="76" t="s">
        <v>955</v>
      </c>
      <c r="K193" s="76" t="s">
        <v>967</v>
      </c>
      <c r="L193" s="76" t="s">
        <v>970</v>
      </c>
      <c r="M193" s="76" t="s">
        <v>988</v>
      </c>
    </row>
    <row r="194" spans="1:13" x14ac:dyDescent="0.25">
      <c r="A194" s="202"/>
      <c r="B194" s="420"/>
      <c r="C194" s="208"/>
      <c r="D194" s="208"/>
      <c r="E194" s="208"/>
      <c r="F194" s="490"/>
      <c r="G194" s="208"/>
      <c r="H194" s="202"/>
      <c r="I194" s="202"/>
      <c r="J194" s="202"/>
      <c r="K194" s="202"/>
      <c r="L194" s="202"/>
      <c r="M194" s="215" t="s">
        <v>1231</v>
      </c>
    </row>
    <row r="195" spans="1:13" x14ac:dyDescent="0.25">
      <c r="A195" s="44"/>
      <c r="B195" s="104" t="s">
        <v>1772</v>
      </c>
      <c r="C195" s="318">
        <v>350.1</v>
      </c>
      <c r="D195" s="318">
        <v>350.2</v>
      </c>
      <c r="E195" s="318">
        <v>352</v>
      </c>
      <c r="F195" s="318">
        <v>353</v>
      </c>
      <c r="G195" s="318">
        <v>354</v>
      </c>
      <c r="H195" s="76">
        <v>355</v>
      </c>
      <c r="I195" s="76">
        <v>356</v>
      </c>
      <c r="J195" s="76">
        <v>357</v>
      </c>
      <c r="K195" s="76">
        <v>358</v>
      </c>
      <c r="L195" s="76">
        <v>359</v>
      </c>
      <c r="M195" s="3" t="s">
        <v>197</v>
      </c>
    </row>
    <row r="196" spans="1:13" x14ac:dyDescent="0.25">
      <c r="A196" s="473">
        <f>A190+1</f>
        <v>108</v>
      </c>
      <c r="B196" s="934" t="s">
        <v>1388</v>
      </c>
      <c r="C196" s="924">
        <v>0</v>
      </c>
      <c r="D196" s="924">
        <v>0</v>
      </c>
      <c r="E196" s="924">
        <v>0</v>
      </c>
      <c r="F196" s="924">
        <v>0</v>
      </c>
      <c r="G196" s="924">
        <v>0</v>
      </c>
      <c r="H196" s="924">
        <v>0</v>
      </c>
      <c r="I196" s="924">
        <v>0</v>
      </c>
      <c r="J196" s="924">
        <v>0</v>
      </c>
      <c r="K196" s="924">
        <v>0</v>
      </c>
      <c r="L196" s="924">
        <v>0</v>
      </c>
      <c r="M196" s="924">
        <v>0</v>
      </c>
    </row>
    <row r="197" spans="1:13" x14ac:dyDescent="0.25">
      <c r="A197" s="473">
        <f t="shared" ref="A197:A208" si="7">A196+1</f>
        <v>109</v>
      </c>
      <c r="B197" s="934" t="s">
        <v>1388</v>
      </c>
      <c r="C197" s="924">
        <v>0</v>
      </c>
      <c r="D197" s="924">
        <v>0</v>
      </c>
      <c r="E197" s="924">
        <v>0</v>
      </c>
      <c r="F197" s="924">
        <v>0</v>
      </c>
      <c r="G197" s="924">
        <v>0</v>
      </c>
      <c r="H197" s="924">
        <v>0</v>
      </c>
      <c r="I197" s="924">
        <v>0</v>
      </c>
      <c r="J197" s="924">
        <v>0</v>
      </c>
      <c r="K197" s="924">
        <v>0</v>
      </c>
      <c r="L197" s="924">
        <v>0</v>
      </c>
      <c r="M197" s="924">
        <v>0</v>
      </c>
    </row>
    <row r="198" spans="1:13" x14ac:dyDescent="0.25">
      <c r="A198" s="473">
        <f t="shared" si="7"/>
        <v>110</v>
      </c>
      <c r="B198" s="934" t="s">
        <v>1388</v>
      </c>
      <c r="C198" s="924">
        <v>0</v>
      </c>
      <c r="D198" s="924">
        <v>0</v>
      </c>
      <c r="E198" s="924">
        <v>0</v>
      </c>
      <c r="F198" s="924">
        <v>0</v>
      </c>
      <c r="G198" s="924">
        <v>0</v>
      </c>
      <c r="H198" s="924">
        <v>0</v>
      </c>
      <c r="I198" s="924">
        <v>0</v>
      </c>
      <c r="J198" s="924">
        <v>0</v>
      </c>
      <c r="K198" s="924">
        <v>0</v>
      </c>
      <c r="L198" s="924">
        <v>0</v>
      </c>
      <c r="M198" s="924">
        <v>0</v>
      </c>
    </row>
    <row r="199" spans="1:13" x14ac:dyDescent="0.25">
      <c r="A199" s="473">
        <f t="shared" si="7"/>
        <v>111</v>
      </c>
      <c r="B199" s="934" t="s">
        <v>1388</v>
      </c>
      <c r="C199" s="924">
        <v>0</v>
      </c>
      <c r="D199" s="924">
        <v>0</v>
      </c>
      <c r="E199" s="924">
        <v>0</v>
      </c>
      <c r="F199" s="924">
        <v>0</v>
      </c>
      <c r="G199" s="924">
        <v>0</v>
      </c>
      <c r="H199" s="924">
        <v>0</v>
      </c>
      <c r="I199" s="924">
        <v>0</v>
      </c>
      <c r="J199" s="924">
        <v>0</v>
      </c>
      <c r="K199" s="924">
        <v>0</v>
      </c>
      <c r="L199" s="924">
        <v>0</v>
      </c>
      <c r="M199" s="924">
        <v>0</v>
      </c>
    </row>
    <row r="200" spans="1:13" x14ac:dyDescent="0.25">
      <c r="A200" s="473">
        <f t="shared" si="7"/>
        <v>112</v>
      </c>
      <c r="B200" s="934" t="s">
        <v>1388</v>
      </c>
      <c r="C200" s="924">
        <v>0</v>
      </c>
      <c r="D200" s="924">
        <v>0</v>
      </c>
      <c r="E200" s="924">
        <v>0</v>
      </c>
      <c r="F200" s="924">
        <v>0</v>
      </c>
      <c r="G200" s="924">
        <v>0</v>
      </c>
      <c r="H200" s="924">
        <v>0</v>
      </c>
      <c r="I200" s="924">
        <v>0</v>
      </c>
      <c r="J200" s="924">
        <v>0</v>
      </c>
      <c r="K200" s="924">
        <v>0</v>
      </c>
      <c r="L200" s="924">
        <v>0</v>
      </c>
      <c r="M200" s="924">
        <v>0</v>
      </c>
    </row>
    <row r="201" spans="1:13" x14ac:dyDescent="0.25">
      <c r="A201" s="473">
        <f t="shared" si="7"/>
        <v>113</v>
      </c>
      <c r="B201" s="934" t="s">
        <v>1388</v>
      </c>
      <c r="C201" s="924">
        <v>0</v>
      </c>
      <c r="D201" s="924">
        <v>0</v>
      </c>
      <c r="E201" s="924">
        <v>0</v>
      </c>
      <c r="F201" s="924">
        <v>0</v>
      </c>
      <c r="G201" s="924">
        <v>0</v>
      </c>
      <c r="H201" s="924">
        <v>0</v>
      </c>
      <c r="I201" s="924">
        <v>0</v>
      </c>
      <c r="J201" s="924">
        <v>0</v>
      </c>
      <c r="K201" s="924">
        <v>0</v>
      </c>
      <c r="L201" s="924">
        <v>0</v>
      </c>
      <c r="M201" s="924">
        <v>0</v>
      </c>
    </row>
    <row r="202" spans="1:13" x14ac:dyDescent="0.25">
      <c r="A202" s="473">
        <f t="shared" si="7"/>
        <v>114</v>
      </c>
      <c r="B202" s="934" t="s">
        <v>1388</v>
      </c>
      <c r="C202" s="924">
        <v>0</v>
      </c>
      <c r="D202" s="924">
        <v>0</v>
      </c>
      <c r="E202" s="924">
        <v>0</v>
      </c>
      <c r="F202" s="924">
        <v>0</v>
      </c>
      <c r="G202" s="924">
        <v>0</v>
      </c>
      <c r="H202" s="924">
        <v>0</v>
      </c>
      <c r="I202" s="924">
        <v>0</v>
      </c>
      <c r="J202" s="924">
        <v>0</v>
      </c>
      <c r="K202" s="924">
        <v>0</v>
      </c>
      <c r="L202" s="924">
        <v>0</v>
      </c>
      <c r="M202" s="924">
        <v>0</v>
      </c>
    </row>
    <row r="203" spans="1:13" x14ac:dyDescent="0.25">
      <c r="A203" s="473">
        <f t="shared" si="7"/>
        <v>115</v>
      </c>
      <c r="B203" s="934" t="s">
        <v>1388</v>
      </c>
      <c r="C203" s="924">
        <v>0</v>
      </c>
      <c r="D203" s="924">
        <v>0</v>
      </c>
      <c r="E203" s="924">
        <v>0</v>
      </c>
      <c r="F203" s="924">
        <v>0</v>
      </c>
      <c r="G203" s="924">
        <v>0</v>
      </c>
      <c r="H203" s="924">
        <v>0</v>
      </c>
      <c r="I203" s="924">
        <v>0</v>
      </c>
      <c r="J203" s="924">
        <v>0</v>
      </c>
      <c r="K203" s="924">
        <v>0</v>
      </c>
      <c r="L203" s="924">
        <v>0</v>
      </c>
      <c r="M203" s="924">
        <v>0</v>
      </c>
    </row>
    <row r="204" spans="1:13" x14ac:dyDescent="0.25">
      <c r="A204" s="473">
        <f t="shared" si="7"/>
        <v>116</v>
      </c>
      <c r="B204" s="934" t="s">
        <v>1388</v>
      </c>
      <c r="C204" s="924">
        <v>0</v>
      </c>
      <c r="D204" s="924">
        <v>0</v>
      </c>
      <c r="E204" s="924">
        <v>0</v>
      </c>
      <c r="F204" s="924">
        <v>0</v>
      </c>
      <c r="G204" s="924">
        <v>0</v>
      </c>
      <c r="H204" s="924">
        <v>0</v>
      </c>
      <c r="I204" s="924">
        <v>0</v>
      </c>
      <c r="J204" s="924">
        <v>0</v>
      </c>
      <c r="K204" s="924">
        <v>0</v>
      </c>
      <c r="L204" s="924">
        <v>0</v>
      </c>
      <c r="M204" s="924">
        <v>0</v>
      </c>
    </row>
    <row r="205" spans="1:13" x14ac:dyDescent="0.25">
      <c r="A205" s="473">
        <f t="shared" si="7"/>
        <v>117</v>
      </c>
      <c r="B205" s="934" t="s">
        <v>1388</v>
      </c>
      <c r="C205" s="924">
        <v>0</v>
      </c>
      <c r="D205" s="924">
        <v>0</v>
      </c>
      <c r="E205" s="924">
        <v>0</v>
      </c>
      <c r="F205" s="924">
        <v>0</v>
      </c>
      <c r="G205" s="924">
        <v>0</v>
      </c>
      <c r="H205" s="924">
        <v>0</v>
      </c>
      <c r="I205" s="924">
        <v>0</v>
      </c>
      <c r="J205" s="924">
        <v>0</v>
      </c>
      <c r="K205" s="924">
        <v>0</v>
      </c>
      <c r="L205" s="924">
        <v>0</v>
      </c>
      <c r="M205" s="924">
        <v>0</v>
      </c>
    </row>
    <row r="206" spans="1:13" x14ac:dyDescent="0.25">
      <c r="A206" s="473">
        <f t="shared" si="7"/>
        <v>118</v>
      </c>
      <c r="B206" s="934" t="s">
        <v>1388</v>
      </c>
      <c r="C206" s="924">
        <v>0</v>
      </c>
      <c r="D206" s="924">
        <v>0</v>
      </c>
      <c r="E206" s="924">
        <v>0</v>
      </c>
      <c r="F206" s="924">
        <v>0</v>
      </c>
      <c r="G206" s="924">
        <v>0</v>
      </c>
      <c r="H206" s="924">
        <v>0</v>
      </c>
      <c r="I206" s="924">
        <v>0</v>
      </c>
      <c r="J206" s="924">
        <v>0</v>
      </c>
      <c r="K206" s="924">
        <v>0</v>
      </c>
      <c r="L206" s="924">
        <v>0</v>
      </c>
      <c r="M206" s="924">
        <v>0</v>
      </c>
    </row>
    <row r="207" spans="1:13" ht="15" x14ac:dyDescent="0.4">
      <c r="A207" s="473">
        <f t="shared" si="7"/>
        <v>119</v>
      </c>
      <c r="B207" s="934" t="s">
        <v>1388</v>
      </c>
      <c r="C207" s="925">
        <v>0</v>
      </c>
      <c r="D207" s="925">
        <v>0</v>
      </c>
      <c r="E207" s="925">
        <v>0</v>
      </c>
      <c r="F207" s="925">
        <v>0</v>
      </c>
      <c r="G207" s="925">
        <v>0</v>
      </c>
      <c r="H207" s="925">
        <v>0</v>
      </c>
      <c r="I207" s="925">
        <v>0</v>
      </c>
      <c r="J207" s="925">
        <v>0</v>
      </c>
      <c r="K207" s="925">
        <v>0</v>
      </c>
      <c r="L207" s="925">
        <v>0</v>
      </c>
      <c r="M207" s="925">
        <v>0</v>
      </c>
    </row>
    <row r="208" spans="1:13" x14ac:dyDescent="0.25">
      <c r="A208" s="473">
        <f t="shared" si="7"/>
        <v>120</v>
      </c>
      <c r="B208" s="476" t="s">
        <v>4</v>
      </c>
      <c r="C208" s="924">
        <v>0</v>
      </c>
      <c r="D208" s="924">
        <v>0</v>
      </c>
      <c r="E208" s="924">
        <v>0</v>
      </c>
      <c r="F208" s="924">
        <v>0</v>
      </c>
      <c r="G208" s="924">
        <v>0</v>
      </c>
      <c r="H208" s="924">
        <v>0</v>
      </c>
      <c r="I208" s="924">
        <v>0</v>
      </c>
      <c r="J208" s="924">
        <v>0</v>
      </c>
      <c r="K208" s="924">
        <v>0</v>
      </c>
      <c r="L208" s="924">
        <v>0</v>
      </c>
      <c r="M208" s="924">
        <v>0</v>
      </c>
    </row>
    <row r="210" spans="2:44" x14ac:dyDescent="0.25">
      <c r="B210" s="369" t="s">
        <v>233</v>
      </c>
    </row>
    <row r="211" spans="2:44" x14ac:dyDescent="0.25">
      <c r="B211" s="445" t="s">
        <v>1872</v>
      </c>
      <c r="C211" s="13"/>
      <c r="D211" s="13"/>
      <c r="E211" s="13"/>
      <c r="F211" s="13"/>
      <c r="G211" s="13"/>
      <c r="H211" s="13"/>
      <c r="I211" s="13"/>
      <c r="J211" s="13"/>
      <c r="K211" s="13"/>
      <c r="L211" s="13"/>
    </row>
    <row r="212" spans="2:44" x14ac:dyDescent="0.25">
      <c r="B212" s="893" t="s">
        <v>1895</v>
      </c>
      <c r="C212" s="445"/>
      <c r="D212" s="445"/>
      <c r="E212" s="445"/>
      <c r="F212" s="445"/>
      <c r="G212" s="445"/>
      <c r="H212" s="445"/>
      <c r="I212" s="13"/>
      <c r="J212" s="445"/>
      <c r="K212" s="445"/>
      <c r="L212" s="445"/>
      <c r="M212" s="445"/>
      <c r="N212" s="443"/>
      <c r="O212" s="443"/>
      <c r="P212" s="443"/>
      <c r="Q212" s="443"/>
      <c r="R212" s="443"/>
      <c r="S212" s="443"/>
      <c r="T212" s="443"/>
      <c r="U212" s="443"/>
      <c r="V212" s="443"/>
      <c r="W212" s="443"/>
      <c r="X212" s="443"/>
      <c r="Y212" s="443"/>
      <c r="Z212" s="443"/>
      <c r="AA212" s="443"/>
      <c r="AB212" s="443"/>
      <c r="AC212" s="443"/>
      <c r="AD212" s="443"/>
      <c r="AE212" s="443"/>
      <c r="AF212" s="443"/>
      <c r="AG212" s="443"/>
      <c r="AH212" s="443"/>
      <c r="AI212" s="443"/>
      <c r="AJ212" s="443"/>
      <c r="AK212" s="443"/>
      <c r="AL212" s="443"/>
      <c r="AM212" s="443"/>
      <c r="AN212" s="443"/>
      <c r="AO212" s="443"/>
      <c r="AP212" s="443"/>
      <c r="AQ212" s="443"/>
      <c r="AR212" s="443"/>
    </row>
    <row r="213" spans="2:44" x14ac:dyDescent="0.25">
      <c r="B213" s="1082" t="s">
        <v>1873</v>
      </c>
      <c r="C213" s="13"/>
      <c r="D213" s="13"/>
      <c r="E213" s="13"/>
      <c r="F213" s="13"/>
      <c r="G213" s="13"/>
      <c r="H213" s="13"/>
      <c r="I213" s="13"/>
      <c r="J213" s="13"/>
      <c r="K213" s="13"/>
      <c r="L213" s="13"/>
      <c r="M213" s="13"/>
    </row>
    <row r="214" spans="2:44" x14ac:dyDescent="0.25">
      <c r="B214" s="442" t="s">
        <v>2456</v>
      </c>
      <c r="C214" s="13"/>
      <c r="D214" s="13"/>
      <c r="E214" s="13"/>
      <c r="F214" s="13"/>
      <c r="G214" s="13"/>
      <c r="H214" s="13"/>
      <c r="I214" s="13"/>
      <c r="J214" s="13"/>
      <c r="K214" s="13"/>
      <c r="M214" s="13"/>
    </row>
    <row r="215" spans="2:44" x14ac:dyDescent="0.25">
      <c r="B215" s="442" t="s">
        <v>2457</v>
      </c>
      <c r="C215" s="13"/>
      <c r="D215" s="13"/>
      <c r="E215" s="13"/>
      <c r="F215" s="13"/>
      <c r="G215" s="13"/>
      <c r="H215" s="13"/>
      <c r="I215" s="13"/>
      <c r="J215" s="13"/>
      <c r="K215" s="13"/>
      <c r="L215" s="13"/>
      <c r="M215" s="13"/>
    </row>
    <row r="216" spans="2:44" x14ac:dyDescent="0.25">
      <c r="B216" s="96" t="s">
        <v>1874</v>
      </c>
      <c r="C216" s="13"/>
      <c r="D216" s="13"/>
      <c r="E216" s="13"/>
      <c r="F216" s="13"/>
      <c r="G216" s="13"/>
      <c r="H216" s="13"/>
      <c r="I216" s="13"/>
      <c r="J216" s="13"/>
      <c r="K216" s="13"/>
      <c r="L216" s="13"/>
      <c r="M216" s="13"/>
    </row>
    <row r="217" spans="2:44" x14ac:dyDescent="0.25">
      <c r="B217" s="445" t="s">
        <v>1875</v>
      </c>
      <c r="C217" s="13"/>
      <c r="D217" s="13"/>
      <c r="E217" s="13"/>
      <c r="F217" s="13"/>
      <c r="G217" s="13"/>
      <c r="H217" s="13"/>
      <c r="I217" s="13"/>
      <c r="J217" s="13"/>
      <c r="K217" s="13"/>
      <c r="L217" s="13"/>
      <c r="M217" s="13"/>
    </row>
    <row r="218" spans="2:44" x14ac:dyDescent="0.25">
      <c r="B218" s="442" t="s">
        <v>2458</v>
      </c>
      <c r="C218" s="13"/>
      <c r="D218" s="13"/>
      <c r="E218" s="13"/>
      <c r="F218" s="13"/>
      <c r="G218" s="13"/>
      <c r="H218" s="13"/>
      <c r="I218" s="13"/>
      <c r="J218" s="13"/>
      <c r="K218" s="13"/>
      <c r="L218" s="13"/>
      <c r="M218" s="13"/>
    </row>
    <row r="219" spans="2:44" x14ac:dyDescent="0.25">
      <c r="B219" s="442" t="s">
        <v>2459</v>
      </c>
      <c r="C219" s="13"/>
      <c r="D219" s="13"/>
      <c r="E219" s="13"/>
      <c r="F219" s="13"/>
      <c r="G219" s="13"/>
      <c r="H219" s="13"/>
      <c r="I219" s="13"/>
      <c r="J219" s="13"/>
      <c r="K219" s="13"/>
      <c r="L219" s="13"/>
      <c r="M219" s="13"/>
    </row>
    <row r="220" spans="2:44" x14ac:dyDescent="0.25">
      <c r="B220" s="442" t="s">
        <v>2460</v>
      </c>
      <c r="C220" s="13"/>
      <c r="D220" s="13"/>
      <c r="E220" s="13"/>
      <c r="F220" s="13"/>
      <c r="G220" s="13"/>
      <c r="H220" s="13"/>
      <c r="I220" s="13"/>
      <c r="J220" s="13"/>
      <c r="K220" s="13"/>
      <c r="L220" s="13"/>
      <c r="M220" s="13"/>
    </row>
    <row r="221" spans="2:44" x14ac:dyDescent="0.25">
      <c r="B221" s="445" t="str">
        <f>"2) Amounts on Line "&amp;A34&amp;" must match 6-Plant Study amounts for Distribution Plant - ISO for previous year."</f>
        <v>2) Amounts on Line 15 must match 6-Plant Study amounts for Distribution Plant - ISO for previous year.</v>
      </c>
      <c r="C221" s="13"/>
      <c r="D221" s="13"/>
      <c r="E221" s="13"/>
      <c r="F221" s="13"/>
      <c r="G221" s="13"/>
      <c r="H221" s="13"/>
      <c r="I221" s="13"/>
      <c r="J221" s="13"/>
    </row>
    <row r="222" spans="2:44" x14ac:dyDescent="0.25">
      <c r="B222" s="442" t="str">
        <f>"Amounts on Line "&amp;A35&amp;" must match amounts on 6-PlantStudy for Distribution Plant - ISO."</f>
        <v>Amounts on Line 16 must match amounts on 6-PlantStudy for Distribution Plant - ISO.</v>
      </c>
      <c r="C222" s="13"/>
      <c r="D222" s="13"/>
      <c r="E222" s="13"/>
      <c r="F222" s="13"/>
      <c r="G222" s="13"/>
      <c r="H222" s="13"/>
      <c r="I222" s="13"/>
      <c r="J222" s="13"/>
    </row>
    <row r="223" spans="2:44" x14ac:dyDescent="0.25">
      <c r="B223" s="1086" t="s">
        <v>2461</v>
      </c>
      <c r="C223" s="13"/>
      <c r="D223" s="13"/>
      <c r="E223" s="13"/>
      <c r="F223" s="13"/>
      <c r="G223" s="13"/>
      <c r="H223" s="13"/>
      <c r="I223" s="13"/>
      <c r="J223" s="13"/>
    </row>
    <row r="224" spans="2:44" x14ac:dyDescent="0.25">
      <c r="B224" s="445" t="s">
        <v>2462</v>
      </c>
      <c r="C224" s="13"/>
      <c r="D224" s="13"/>
      <c r="E224" s="13"/>
      <c r="F224" s="13"/>
      <c r="G224" s="13"/>
      <c r="H224" s="13"/>
      <c r="I224" s="13"/>
      <c r="J224" s="13"/>
    </row>
    <row r="225" spans="1:12" x14ac:dyDescent="0.25">
      <c r="B225" s="445" t="s">
        <v>2463</v>
      </c>
      <c r="C225" s="13"/>
      <c r="D225" s="13"/>
      <c r="E225" s="13"/>
      <c r="F225" s="13"/>
      <c r="G225" s="13"/>
      <c r="H225" s="13"/>
      <c r="I225" s="13"/>
      <c r="J225" s="13"/>
    </row>
    <row r="226" spans="1:12" x14ac:dyDescent="0.25">
      <c r="B226" s="13" t="s">
        <v>2659</v>
      </c>
      <c r="C226" s="13"/>
      <c r="D226" s="13"/>
      <c r="E226" s="13"/>
      <c r="F226" s="13"/>
      <c r="G226" s="13"/>
      <c r="H226" s="13"/>
      <c r="I226" s="13"/>
      <c r="J226" s="13"/>
      <c r="L226" s="13"/>
    </row>
    <row r="227" spans="1:12" x14ac:dyDescent="0.25">
      <c r="B227" s="443" t="s">
        <v>2464</v>
      </c>
    </row>
    <row r="228" spans="1:12" x14ac:dyDescent="0.25">
      <c r="B228" s="443" t="s">
        <v>2465</v>
      </c>
    </row>
    <row r="229" spans="1:12" x14ac:dyDescent="0.25">
      <c r="B229" t="str">
        <f>"9) Amount on Line "&amp;A23&amp;" less amount on Line "&amp;A11&amp;" for each account."</f>
        <v>9) Amount on Line 13 less amount on Line 1 for each account.</v>
      </c>
    </row>
    <row r="230" spans="1:12" x14ac:dyDescent="0.25">
      <c r="A230" t="s">
        <v>331</v>
      </c>
      <c r="B230" t="str">
        <f>"10) Line "&amp;A142&amp;""</f>
        <v>10) Line 79</v>
      </c>
    </row>
    <row r="231" spans="1:12" x14ac:dyDescent="0.25">
      <c r="B231" t="str">
        <f>"11) Amount on Line "&amp;A182&amp;" less amount on Line "&amp;A186&amp;" for each account."</f>
        <v>11) Amount on Line 105 less amount on Line 106 for each account.</v>
      </c>
    </row>
    <row r="232" spans="1:12" x14ac:dyDescent="0.25">
      <c r="B232" s="445" t="str">
        <f>"12) For each column (FERC Account) divide Line "&amp;A190&amp;" by Line "&amp;A161&amp;" to arrive at a ratio for each column."</f>
        <v>12) For each column (FERC Account) divide Line 107 by Line 92 to arrive at a ratio for each column.</v>
      </c>
      <c r="C232" s="13"/>
      <c r="D232" s="13"/>
      <c r="E232" s="13"/>
      <c r="F232" s="13"/>
      <c r="G232" s="13"/>
      <c r="H232" s="13"/>
    </row>
    <row r="233" spans="1:12" x14ac:dyDescent="0.25">
      <c r="B233" s="442" t="str">
        <f>"Apply the ratio of each column to each monthly value from Lines "&amp;A149&amp;"-"&amp;A160&amp;" to calculate the values for"</f>
        <v>Apply the ratio of each column to each monthly value from Lines 80-91 to calculate the values for</v>
      </c>
      <c r="C233" s="13"/>
      <c r="D233" s="13"/>
      <c r="E233" s="13"/>
      <c r="F233" s="13"/>
      <c r="G233" s="13"/>
      <c r="H233" s="13"/>
    </row>
    <row r="234" spans="1:12" x14ac:dyDescent="0.25">
      <c r="B234" s="442" t="str">
        <f>"the corresponsing months listed in Lines "&amp;A196&amp;"-"&amp;A207&amp;"."</f>
        <v>the corresponsing months listed in Lines 108-119.</v>
      </c>
      <c r="C234" s="13"/>
      <c r="D234" s="13"/>
      <c r="E234" s="13"/>
      <c r="F234" s="13"/>
      <c r="G234" s="13"/>
      <c r="H234"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4" manualBreakCount="4">
    <brk id="37" max="16383" man="1"/>
    <brk id="86" max="16383" man="1"/>
    <brk id="143" max="16383" man="1"/>
    <brk id="19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06" customWidth="1"/>
    <col min="3" max="5" width="15.6640625" style="106" customWidth="1"/>
    <col min="6" max="6" width="12.33203125" style="106" customWidth="1"/>
    <col min="8" max="8" width="15.5546875" customWidth="1"/>
  </cols>
  <sheetData>
    <row r="1" spans="1:8" ht="13.2" x14ac:dyDescent="0.25">
      <c r="A1" s="1" t="s">
        <v>433</v>
      </c>
      <c r="B1" s="146"/>
      <c r="C1" s="146"/>
      <c r="D1" s="146"/>
      <c r="E1" s="147" t="s">
        <v>452</v>
      </c>
      <c r="F1" s="157"/>
      <c r="G1" s="11"/>
    </row>
    <row r="2" spans="1:8" x14ac:dyDescent="0.3">
      <c r="B2" s="146"/>
      <c r="C2" s="146"/>
      <c r="G2" s="11"/>
    </row>
    <row r="3" spans="1:8" ht="13.2" x14ac:dyDescent="0.25">
      <c r="A3" s="894" t="s">
        <v>1741</v>
      </c>
      <c r="B3" s="895"/>
      <c r="C3" s="895"/>
      <c r="D3" s="895"/>
      <c r="E3" s="896" t="s">
        <v>1736</v>
      </c>
      <c r="F3" s="216" t="s">
        <v>1388</v>
      </c>
      <c r="G3" s="11"/>
    </row>
    <row r="4" spans="1:8" ht="13.2" x14ac:dyDescent="0.25">
      <c r="A4" s="144"/>
      <c r="B4" s="146"/>
      <c r="C4" s="146"/>
      <c r="D4" s="146"/>
      <c r="E4" s="146"/>
      <c r="F4" s="146"/>
      <c r="G4" s="11"/>
    </row>
    <row r="5" spans="1:8" x14ac:dyDescent="0.3">
      <c r="B5" s="144"/>
      <c r="C5" s="76" t="s">
        <v>363</v>
      </c>
      <c r="E5" s="76" t="s">
        <v>347</v>
      </c>
      <c r="F5" s="76" t="s">
        <v>348</v>
      </c>
      <c r="G5" s="11"/>
    </row>
    <row r="6" spans="1:8" x14ac:dyDescent="0.3">
      <c r="B6" s="144"/>
      <c r="C6" s="76"/>
      <c r="E6" s="76"/>
      <c r="F6" s="76"/>
      <c r="G6" s="11"/>
    </row>
    <row r="7" spans="1:8" ht="13.2" x14ac:dyDescent="0.25">
      <c r="A7" s="44" t="s">
        <v>332</v>
      </c>
      <c r="B7" s="144"/>
      <c r="C7" s="145" t="s">
        <v>197</v>
      </c>
      <c r="D7" s="145"/>
      <c r="E7" s="145" t="s">
        <v>1132</v>
      </c>
      <c r="F7" s="145" t="s">
        <v>435</v>
      </c>
      <c r="G7" s="11"/>
    </row>
    <row r="8" spans="1:8" ht="13.2" x14ac:dyDescent="0.25">
      <c r="A8" s="2">
        <v>1</v>
      </c>
      <c r="B8" s="137" t="s">
        <v>100</v>
      </c>
      <c r="C8" s="137" t="s">
        <v>376</v>
      </c>
      <c r="D8" s="137" t="s">
        <v>439</v>
      </c>
      <c r="E8" s="137" t="s">
        <v>1133</v>
      </c>
      <c r="F8" s="137" t="s">
        <v>436</v>
      </c>
      <c r="G8" s="148" t="s">
        <v>169</v>
      </c>
    </row>
    <row r="9" spans="1:8" ht="12.75" customHeight="1" x14ac:dyDescent="0.25">
      <c r="A9" s="2">
        <f>A8+1</f>
        <v>2</v>
      </c>
      <c r="B9" s="138" t="s">
        <v>429</v>
      </c>
      <c r="C9" s="149"/>
      <c r="D9" s="149"/>
      <c r="E9" s="149"/>
      <c r="F9" s="150"/>
      <c r="G9" s="11"/>
    </row>
    <row r="10" spans="1:8" ht="13.2" x14ac:dyDescent="0.25">
      <c r="A10" s="2">
        <f t="shared" ref="A10:A28" si="0">A9+1</f>
        <v>3</v>
      </c>
      <c r="B10" s="139">
        <v>352</v>
      </c>
      <c r="C10" s="932">
        <v>0</v>
      </c>
      <c r="D10" s="134" t="s">
        <v>440</v>
      </c>
      <c r="E10" s="932">
        <v>0</v>
      </c>
      <c r="F10" s="926" t="s">
        <v>2193</v>
      </c>
      <c r="G10" s="11"/>
      <c r="H10" s="118"/>
    </row>
    <row r="11" spans="1:8" ht="15" x14ac:dyDescent="0.4">
      <c r="A11" s="2">
        <f t="shared" si="0"/>
        <v>4</v>
      </c>
      <c r="B11" s="139">
        <v>353</v>
      </c>
      <c r="C11" s="933">
        <v>0</v>
      </c>
      <c r="D11" s="134" t="s">
        <v>441</v>
      </c>
      <c r="E11" s="933">
        <v>0</v>
      </c>
      <c r="F11" s="931" t="s">
        <v>2193</v>
      </c>
      <c r="G11" s="11"/>
    </row>
    <row r="12" spans="1:8" ht="13.2" x14ac:dyDescent="0.25">
      <c r="A12" s="2">
        <f t="shared" si="0"/>
        <v>5</v>
      </c>
      <c r="B12" s="141" t="s">
        <v>424</v>
      </c>
      <c r="C12" s="924">
        <v>0</v>
      </c>
      <c r="D12" s="12" t="str">
        <f>"L "&amp;A10&amp;" + L "&amp;A11&amp;""</f>
        <v>L 3 + L 4</v>
      </c>
      <c r="E12" s="924">
        <v>0</v>
      </c>
      <c r="F12" s="926" t="s">
        <v>2193</v>
      </c>
      <c r="G12" s="11"/>
    </row>
    <row r="13" spans="1:8" ht="13.2" x14ac:dyDescent="0.25">
      <c r="A13" s="2">
        <f t="shared" si="0"/>
        <v>6</v>
      </c>
      <c r="B13" s="151"/>
      <c r="C13" s="152"/>
      <c r="D13" s="152"/>
      <c r="E13" s="152"/>
      <c r="F13" s="136"/>
      <c r="G13" s="11"/>
    </row>
    <row r="14" spans="1:8" ht="13.2" x14ac:dyDescent="0.25">
      <c r="A14" s="2">
        <f t="shared" si="0"/>
        <v>7</v>
      </c>
      <c r="B14" s="140" t="s">
        <v>425</v>
      </c>
      <c r="C14" s="153"/>
      <c r="D14" s="153"/>
      <c r="E14" s="153"/>
      <c r="F14" s="154"/>
      <c r="G14" s="11"/>
    </row>
    <row r="15" spans="1:8" ht="13.2" x14ac:dyDescent="0.25">
      <c r="A15" s="2">
        <f t="shared" si="0"/>
        <v>8</v>
      </c>
      <c r="B15" s="139">
        <v>350</v>
      </c>
      <c r="C15" s="932">
        <v>0</v>
      </c>
      <c r="D15" s="134" t="s">
        <v>442</v>
      </c>
      <c r="E15" s="932">
        <v>0</v>
      </c>
      <c r="F15" s="926" t="s">
        <v>2193</v>
      </c>
      <c r="G15" s="11"/>
    </row>
    <row r="16" spans="1:8" ht="13.2" x14ac:dyDescent="0.25">
      <c r="A16" s="2">
        <f t="shared" si="0"/>
        <v>9</v>
      </c>
      <c r="B16" s="139"/>
      <c r="C16" s="133"/>
      <c r="D16" s="133"/>
      <c r="E16" s="133"/>
      <c r="F16" s="136"/>
      <c r="G16" s="11"/>
    </row>
    <row r="17" spans="1:7" ht="13.2" x14ac:dyDescent="0.25">
      <c r="A17" s="2">
        <f t="shared" si="0"/>
        <v>10</v>
      </c>
      <c r="B17" s="140" t="s">
        <v>426</v>
      </c>
      <c r="C17" s="924">
        <v>0</v>
      </c>
      <c r="D17" s="12" t="str">
        <f>"L "&amp;A12&amp;" + L "&amp;A15&amp;""</f>
        <v>L 5 + L 8</v>
      </c>
      <c r="E17" s="924">
        <v>0</v>
      </c>
      <c r="F17" s="926" t="s">
        <v>2193</v>
      </c>
      <c r="G17" s="11"/>
    </row>
    <row r="18" spans="1:7" ht="13.2" x14ac:dyDescent="0.25">
      <c r="A18" s="2">
        <f t="shared" si="0"/>
        <v>11</v>
      </c>
      <c r="B18" s="151"/>
      <c r="C18" s="152"/>
      <c r="D18" s="152"/>
      <c r="E18" s="152"/>
      <c r="F18" s="136"/>
      <c r="G18" s="11"/>
    </row>
    <row r="19" spans="1:7" ht="13.2" x14ac:dyDescent="0.25">
      <c r="A19" s="2">
        <f t="shared" si="0"/>
        <v>12</v>
      </c>
      <c r="B19" s="140" t="s">
        <v>427</v>
      </c>
      <c r="C19" s="152"/>
      <c r="D19" s="152"/>
      <c r="E19" s="152"/>
      <c r="F19" s="136"/>
      <c r="G19" s="11"/>
    </row>
    <row r="20" spans="1:7" ht="13.2" x14ac:dyDescent="0.25">
      <c r="A20" s="2">
        <f t="shared" si="0"/>
        <v>13</v>
      </c>
      <c r="B20" s="139">
        <v>354</v>
      </c>
      <c r="C20" s="932">
        <v>0</v>
      </c>
      <c r="D20" s="134" t="s">
        <v>443</v>
      </c>
      <c r="E20" s="932">
        <v>0</v>
      </c>
      <c r="F20" s="926" t="s">
        <v>2193</v>
      </c>
      <c r="G20" s="11"/>
    </row>
    <row r="21" spans="1:7" ht="13.2" x14ac:dyDescent="0.25">
      <c r="A21" s="2">
        <f t="shared" si="0"/>
        <v>14</v>
      </c>
      <c r="B21" s="139">
        <v>355</v>
      </c>
      <c r="C21" s="932">
        <v>0</v>
      </c>
      <c r="D21" s="134" t="s">
        <v>444</v>
      </c>
      <c r="E21" s="932">
        <v>0</v>
      </c>
      <c r="F21" s="926" t="s">
        <v>2193</v>
      </c>
      <c r="G21" s="11"/>
    </row>
    <row r="22" spans="1:7" ht="13.2" x14ac:dyDescent="0.25">
      <c r="A22" s="2">
        <f t="shared" si="0"/>
        <v>15</v>
      </c>
      <c r="B22" s="139">
        <v>356</v>
      </c>
      <c r="C22" s="932">
        <v>0</v>
      </c>
      <c r="D22" s="134" t="s">
        <v>445</v>
      </c>
      <c r="E22" s="932">
        <v>0</v>
      </c>
      <c r="F22" s="926" t="s">
        <v>2193</v>
      </c>
      <c r="G22" s="11"/>
    </row>
    <row r="23" spans="1:7" ht="13.2" x14ac:dyDescent="0.25">
      <c r="A23" s="2">
        <f t="shared" si="0"/>
        <v>16</v>
      </c>
      <c r="B23" s="139">
        <v>357</v>
      </c>
      <c r="C23" s="932">
        <v>0</v>
      </c>
      <c r="D23" s="134" t="s">
        <v>446</v>
      </c>
      <c r="E23" s="932">
        <v>0</v>
      </c>
      <c r="F23" s="926" t="s">
        <v>2193</v>
      </c>
      <c r="G23" s="11"/>
    </row>
    <row r="24" spans="1:7" ht="13.2" x14ac:dyDescent="0.25">
      <c r="A24" s="2">
        <f t="shared" si="0"/>
        <v>17</v>
      </c>
      <c r="B24" s="139">
        <v>358</v>
      </c>
      <c r="C24" s="932">
        <v>0</v>
      </c>
      <c r="D24" s="134" t="s">
        <v>447</v>
      </c>
      <c r="E24" s="932">
        <v>0</v>
      </c>
      <c r="F24" s="926" t="s">
        <v>2193</v>
      </c>
      <c r="G24" s="11"/>
    </row>
    <row r="25" spans="1:7" ht="15" x14ac:dyDescent="0.4">
      <c r="A25" s="2">
        <f t="shared" si="0"/>
        <v>18</v>
      </c>
      <c r="B25" s="139">
        <v>359</v>
      </c>
      <c r="C25" s="933">
        <v>0</v>
      </c>
      <c r="D25" s="134" t="s">
        <v>441</v>
      </c>
      <c r="E25" s="933">
        <v>0</v>
      </c>
      <c r="F25" s="931" t="s">
        <v>2193</v>
      </c>
      <c r="G25" s="11"/>
    </row>
    <row r="26" spans="1:7" ht="13.2" x14ac:dyDescent="0.25">
      <c r="A26" s="2">
        <f t="shared" si="0"/>
        <v>19</v>
      </c>
      <c r="B26" s="141" t="s">
        <v>428</v>
      </c>
      <c r="C26" s="924">
        <v>0</v>
      </c>
      <c r="D26" s="135" t="str">
        <f>"Sum L"&amp;A20&amp;" to L"&amp;A25&amp;""</f>
        <v>Sum L13 to L18</v>
      </c>
      <c r="E26" s="924">
        <v>0</v>
      </c>
      <c r="F26" s="926" t="s">
        <v>2193</v>
      </c>
      <c r="G26" s="11"/>
    </row>
    <row r="27" spans="1:7" ht="13.2" x14ac:dyDescent="0.25">
      <c r="A27" s="2">
        <f t="shared" si="0"/>
        <v>20</v>
      </c>
      <c r="B27" s="155"/>
      <c r="C27" s="133"/>
      <c r="D27" s="133"/>
      <c r="E27" s="133"/>
      <c r="F27" s="136"/>
      <c r="G27" s="11"/>
    </row>
    <row r="28" spans="1:7" ht="13.2" x14ac:dyDescent="0.25">
      <c r="A28" s="2">
        <f t="shared" si="0"/>
        <v>21</v>
      </c>
      <c r="B28" s="156" t="s">
        <v>438</v>
      </c>
      <c r="C28" s="924">
        <v>0</v>
      </c>
      <c r="D28" s="12" t="str">
        <f>"L "&amp;A17&amp;" + L "&amp;A26&amp;""</f>
        <v>L 10 + L 19</v>
      </c>
      <c r="E28" s="924">
        <v>0</v>
      </c>
      <c r="F28" s="926" t="s">
        <v>2193</v>
      </c>
      <c r="G28" s="11" t="s">
        <v>364</v>
      </c>
    </row>
    <row r="29" spans="1:7" x14ac:dyDescent="0.3">
      <c r="A29" s="2"/>
      <c r="B29" s="111"/>
      <c r="C29" s="107"/>
      <c r="D29" s="107"/>
      <c r="E29" s="107"/>
      <c r="F29" s="110"/>
    </row>
    <row r="30" spans="1:7" x14ac:dyDescent="0.3">
      <c r="A30" s="2"/>
      <c r="B30" s="108"/>
      <c r="C30" s="109"/>
      <c r="D30" s="109"/>
      <c r="E30" s="562"/>
      <c r="F30" s="109"/>
    </row>
    <row r="31" spans="1:7" x14ac:dyDescent="0.3">
      <c r="A31" s="144" t="s">
        <v>437</v>
      </c>
      <c r="C31" s="109"/>
      <c r="D31" s="109"/>
      <c r="E31" s="109"/>
      <c r="F31" s="109"/>
    </row>
    <row r="32" spans="1:7" x14ac:dyDescent="0.3">
      <c r="A32" s="2"/>
      <c r="B32" s="114"/>
      <c r="C32" s="109"/>
      <c r="D32" s="109"/>
      <c r="E32" s="109"/>
      <c r="F32" s="109"/>
    </row>
    <row r="33" spans="1:9" ht="13.2" x14ac:dyDescent="0.25">
      <c r="A33" s="44" t="s">
        <v>332</v>
      </c>
      <c r="B33" s="144"/>
      <c r="C33" s="145" t="s">
        <v>197</v>
      </c>
      <c r="D33" s="145"/>
      <c r="E33" s="145" t="s">
        <v>308</v>
      </c>
      <c r="F33" s="145" t="s">
        <v>435</v>
      </c>
    </row>
    <row r="34" spans="1:9" ht="13.2" x14ac:dyDescent="0.25">
      <c r="A34" s="2">
        <f>A28+1</f>
        <v>22</v>
      </c>
      <c r="B34" s="137" t="s">
        <v>100</v>
      </c>
      <c r="C34" s="137" t="s">
        <v>376</v>
      </c>
      <c r="D34" s="137" t="s">
        <v>439</v>
      </c>
      <c r="E34" s="137" t="s">
        <v>1133</v>
      </c>
      <c r="F34" s="137" t="s">
        <v>436</v>
      </c>
    </row>
    <row r="35" spans="1:9" x14ac:dyDescent="0.3">
      <c r="A35" s="2">
        <f t="shared" ref="A35:A42" si="1">A34+1</f>
        <v>23</v>
      </c>
      <c r="B35" s="138" t="s">
        <v>430</v>
      </c>
      <c r="C35" s="107"/>
      <c r="D35" s="107"/>
      <c r="E35" s="107"/>
      <c r="F35" s="110"/>
    </row>
    <row r="36" spans="1:9" ht="13.2" x14ac:dyDescent="0.25">
      <c r="A36" s="2">
        <f t="shared" si="1"/>
        <v>24</v>
      </c>
      <c r="B36" s="139">
        <v>360</v>
      </c>
      <c r="C36" s="932">
        <v>0</v>
      </c>
      <c r="D36" s="134" t="s">
        <v>448</v>
      </c>
      <c r="E36" s="932">
        <v>0</v>
      </c>
      <c r="F36" s="926" t="s">
        <v>2193</v>
      </c>
    </row>
    <row r="37" spans="1:9" ht="13.2" x14ac:dyDescent="0.25">
      <c r="A37" s="2">
        <f t="shared" si="1"/>
        <v>25</v>
      </c>
      <c r="B37" s="140" t="s">
        <v>431</v>
      </c>
      <c r="C37" s="133"/>
      <c r="D37" s="133"/>
      <c r="E37" s="133"/>
      <c r="F37" s="136"/>
    </row>
    <row r="38" spans="1:9" ht="13.2" x14ac:dyDescent="0.25">
      <c r="A38" s="2">
        <f t="shared" si="1"/>
        <v>26</v>
      </c>
      <c r="B38" s="139">
        <v>361</v>
      </c>
      <c r="C38" s="932">
        <v>0</v>
      </c>
      <c r="D38" s="134" t="s">
        <v>449</v>
      </c>
      <c r="E38" s="932">
        <v>0</v>
      </c>
      <c r="F38" s="926" t="s">
        <v>2193</v>
      </c>
    </row>
    <row r="39" spans="1:9" ht="15" x14ac:dyDescent="0.4">
      <c r="A39" s="2">
        <f t="shared" si="1"/>
        <v>27</v>
      </c>
      <c r="B39" s="139">
        <v>362</v>
      </c>
      <c r="C39" s="933">
        <v>0</v>
      </c>
      <c r="D39" s="134" t="s">
        <v>450</v>
      </c>
      <c r="E39" s="933">
        <v>0</v>
      </c>
      <c r="F39" s="931" t="s">
        <v>2193</v>
      </c>
    </row>
    <row r="40" spans="1:9" ht="13.2" x14ac:dyDescent="0.25">
      <c r="A40" s="2">
        <f t="shared" si="1"/>
        <v>28</v>
      </c>
      <c r="B40" s="141" t="s">
        <v>432</v>
      </c>
      <c r="C40" s="924">
        <v>0</v>
      </c>
      <c r="D40" s="12" t="str">
        <f>"L "&amp;A38&amp;" + L "&amp;A39&amp;""</f>
        <v>L 26 + L 27</v>
      </c>
      <c r="E40" s="924">
        <v>0</v>
      </c>
      <c r="F40" s="926" t="s">
        <v>2193</v>
      </c>
    </row>
    <row r="41" spans="1:9" x14ac:dyDescent="0.3">
      <c r="A41" s="2">
        <f t="shared" si="1"/>
        <v>29</v>
      </c>
      <c r="B41" s="142"/>
      <c r="C41" s="119"/>
      <c r="D41" s="133"/>
      <c r="E41" s="133"/>
      <c r="F41" s="136"/>
    </row>
    <row r="42" spans="1:9" ht="13.2" x14ac:dyDescent="0.25">
      <c r="A42" s="2">
        <f t="shared" si="1"/>
        <v>30</v>
      </c>
      <c r="B42" s="143" t="s">
        <v>1232</v>
      </c>
      <c r="C42" s="924">
        <v>0</v>
      </c>
      <c r="D42" s="12" t="str">
        <f>"L "&amp;A36&amp;" + L "&amp;A40&amp;""</f>
        <v>L 24 + L 28</v>
      </c>
      <c r="E42" s="924">
        <v>0</v>
      </c>
      <c r="F42" s="926" t="s">
        <v>2193</v>
      </c>
      <c r="G42" s="11" t="s">
        <v>365</v>
      </c>
      <c r="H42" s="11"/>
    </row>
    <row r="43" spans="1:9" x14ac:dyDescent="0.25">
      <c r="A43" s="2"/>
      <c r="B43" s="115"/>
      <c r="C43" s="116"/>
      <c r="D43" s="116"/>
      <c r="E43" s="116"/>
      <c r="F43" s="117"/>
      <c r="H43" s="120"/>
      <c r="I43" s="11"/>
    </row>
    <row r="44" spans="1:9" x14ac:dyDescent="0.3">
      <c r="A44" s="54"/>
      <c r="E44" s="112"/>
    </row>
    <row r="45" spans="1:9" x14ac:dyDescent="0.3">
      <c r="A45" s="75" t="s">
        <v>233</v>
      </c>
    </row>
    <row r="46" spans="1:9" x14ac:dyDescent="0.3">
      <c r="A46" s="12" t="s">
        <v>451</v>
      </c>
      <c r="E46" s="112"/>
    </row>
    <row r="47" spans="1:9" x14ac:dyDescent="0.3">
      <c r="A47" s="12" t="s">
        <v>456</v>
      </c>
    </row>
    <row r="48" spans="1:9" x14ac:dyDescent="0.3">
      <c r="A48" s="12" t="s">
        <v>453</v>
      </c>
      <c r="C48" s="112"/>
      <c r="D48" s="112"/>
    </row>
    <row r="49" spans="1:4" x14ac:dyDescent="0.3">
      <c r="A49" s="12" t="s">
        <v>455</v>
      </c>
      <c r="C49" s="113"/>
      <c r="D49" s="113"/>
    </row>
    <row r="50" spans="1:4" x14ac:dyDescent="0.3">
      <c r="A50" s="54"/>
      <c r="C50" s="112"/>
      <c r="D50" s="112"/>
    </row>
    <row r="51" spans="1:4" x14ac:dyDescent="0.3">
      <c r="A51" s="75" t="s">
        <v>382</v>
      </c>
    </row>
    <row r="52" spans="1:4" x14ac:dyDescent="0.3">
      <c r="A52" s="12" t="s">
        <v>454</v>
      </c>
    </row>
    <row r="53" spans="1:4" x14ac:dyDescent="0.3">
      <c r="A53" s="12" t="s">
        <v>1436</v>
      </c>
    </row>
    <row r="54" spans="1:4" x14ac:dyDescent="0.3">
      <c r="A54" s="447" t="s">
        <v>2044</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topLeftCell="A19"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164</v>
      </c>
      <c r="B1" s="1"/>
      <c r="C1" s="202"/>
      <c r="D1" s="202"/>
      <c r="E1" s="202"/>
      <c r="F1" s="202"/>
      <c r="G1" s="202"/>
      <c r="H1" s="202"/>
      <c r="I1" s="202"/>
      <c r="J1" s="491" t="s">
        <v>452</v>
      </c>
      <c r="K1" s="157"/>
      <c r="L1" s="202"/>
      <c r="M1" s="202"/>
      <c r="N1" s="202"/>
      <c r="O1" s="208"/>
      <c r="P1" s="208"/>
      <c r="Q1" s="208"/>
      <c r="R1" s="208"/>
    </row>
    <row r="2" spans="1:18" x14ac:dyDescent="0.25">
      <c r="A2" s="202"/>
      <c r="B2" s="202"/>
      <c r="C2" s="202"/>
      <c r="D2" s="202"/>
      <c r="E2" s="202"/>
      <c r="F2" s="202"/>
      <c r="G2" s="202"/>
      <c r="H2" s="202"/>
      <c r="I2" s="202"/>
      <c r="L2" s="202"/>
      <c r="M2" s="202"/>
      <c r="N2" s="202"/>
      <c r="O2" s="208"/>
      <c r="P2" s="208"/>
      <c r="Q2" s="208"/>
      <c r="R2" s="208"/>
    </row>
    <row r="3" spans="1:18" x14ac:dyDescent="0.25">
      <c r="A3" s="202"/>
      <c r="B3" s="1" t="s">
        <v>330</v>
      </c>
      <c r="C3" s="202"/>
      <c r="D3" s="202"/>
      <c r="E3" s="202"/>
      <c r="F3" s="202"/>
      <c r="G3" s="850" t="s">
        <v>1736</v>
      </c>
      <c r="H3" s="216" t="s">
        <v>1388</v>
      </c>
      <c r="I3" s="202"/>
      <c r="J3" s="202"/>
      <c r="K3" s="202"/>
      <c r="L3" s="202"/>
      <c r="M3" s="202"/>
      <c r="N3" s="202"/>
      <c r="O3" s="208"/>
      <c r="P3" s="208"/>
      <c r="Q3" s="208"/>
      <c r="R3" s="208"/>
    </row>
    <row r="4" spans="1:18" x14ac:dyDescent="0.25">
      <c r="A4" s="202"/>
      <c r="B4" s="202"/>
      <c r="C4" s="202"/>
      <c r="D4" s="202"/>
      <c r="E4" s="202"/>
      <c r="F4" s="202"/>
      <c r="G4" s="202"/>
      <c r="H4" s="202"/>
      <c r="I4" s="202"/>
      <c r="J4" s="202"/>
      <c r="K4" s="202"/>
      <c r="L4" s="202"/>
      <c r="M4" s="202"/>
      <c r="N4" s="202"/>
      <c r="O4" s="208"/>
      <c r="P4" s="208"/>
      <c r="Q4" s="208"/>
      <c r="R4" s="208"/>
    </row>
    <row r="5" spans="1:18" x14ac:dyDescent="0.25">
      <c r="A5" s="202"/>
      <c r="B5" s="202"/>
      <c r="C5" s="443" t="s">
        <v>1546</v>
      </c>
      <c r="D5" s="202"/>
      <c r="E5" s="202"/>
      <c r="F5" s="202"/>
      <c r="G5" s="202"/>
      <c r="H5" s="202"/>
      <c r="I5" s="202"/>
      <c r="J5" s="443"/>
      <c r="K5" s="202"/>
      <c r="L5" s="202"/>
      <c r="M5" s="202"/>
      <c r="N5" s="202"/>
      <c r="O5" s="208"/>
      <c r="P5" s="208"/>
      <c r="Q5" s="208"/>
      <c r="R5" s="208"/>
    </row>
    <row r="6" spans="1:18" x14ac:dyDescent="0.25">
      <c r="A6" s="202"/>
      <c r="B6" s="202"/>
      <c r="C6" s="202"/>
      <c r="D6" s="202"/>
      <c r="E6" s="202"/>
      <c r="F6" s="202"/>
      <c r="G6" s="202"/>
      <c r="H6" s="202"/>
      <c r="I6" s="202"/>
      <c r="J6" s="202"/>
      <c r="K6" s="202"/>
      <c r="L6" s="202"/>
      <c r="M6" s="202"/>
      <c r="N6" s="202"/>
      <c r="O6" s="208"/>
      <c r="P6" s="208"/>
      <c r="Q6" s="208"/>
      <c r="R6" s="208"/>
    </row>
    <row r="7" spans="1:18" x14ac:dyDescent="0.25">
      <c r="A7" s="202"/>
      <c r="B7" s="202"/>
      <c r="C7" s="76" t="s">
        <v>363</v>
      </c>
      <c r="D7" s="76" t="s">
        <v>347</v>
      </c>
      <c r="E7" s="76" t="s">
        <v>348</v>
      </c>
      <c r="F7" s="76" t="s">
        <v>349</v>
      </c>
      <c r="G7" s="76" t="s">
        <v>350</v>
      </c>
      <c r="H7" s="76" t="s">
        <v>351</v>
      </c>
      <c r="I7" s="76" t="s">
        <v>352</v>
      </c>
      <c r="J7" s="76" t="s">
        <v>541</v>
      </c>
      <c r="K7" s="76" t="s">
        <v>955</v>
      </c>
      <c r="L7" s="76" t="s">
        <v>967</v>
      </c>
      <c r="M7" s="76" t="s">
        <v>970</v>
      </c>
      <c r="N7" s="76" t="s">
        <v>988</v>
      </c>
      <c r="O7" s="208"/>
      <c r="P7" s="208"/>
      <c r="Q7" s="208"/>
      <c r="R7" s="208"/>
    </row>
    <row r="8" spans="1:18" x14ac:dyDescent="0.25">
      <c r="A8" s="202"/>
      <c r="B8" s="202"/>
      <c r="C8" s="215"/>
      <c r="D8" s="202"/>
      <c r="E8" s="202"/>
      <c r="F8" s="202"/>
      <c r="G8" s="202"/>
      <c r="H8" s="202"/>
      <c r="I8" s="202"/>
      <c r="J8" s="202"/>
      <c r="K8" s="202"/>
      <c r="L8" s="202"/>
      <c r="M8" s="202"/>
      <c r="N8" s="428" t="s">
        <v>1664</v>
      </c>
      <c r="O8" s="208"/>
      <c r="P8" s="208"/>
      <c r="Q8" s="208"/>
      <c r="R8" s="208"/>
    </row>
    <row r="9" spans="1:18" x14ac:dyDescent="0.25">
      <c r="A9" s="202"/>
      <c r="B9" s="202"/>
      <c r="C9" s="420"/>
      <c r="D9" s="492" t="s">
        <v>12</v>
      </c>
      <c r="E9" s="202"/>
      <c r="F9" s="202"/>
      <c r="G9" s="202"/>
      <c r="H9" s="202"/>
      <c r="I9" s="202"/>
      <c r="J9" s="202"/>
      <c r="K9" s="202"/>
      <c r="L9" s="202"/>
      <c r="M9" s="202"/>
      <c r="N9" s="202"/>
      <c r="O9" s="208"/>
      <c r="P9" s="208"/>
      <c r="Q9" s="208"/>
      <c r="R9" s="208"/>
    </row>
    <row r="10" spans="1:18" x14ac:dyDescent="0.25">
      <c r="A10" s="202"/>
      <c r="B10" s="202"/>
      <c r="C10" s="94"/>
      <c r="D10" s="492" t="s">
        <v>968</v>
      </c>
      <c r="E10" s="202"/>
      <c r="F10" s="202"/>
      <c r="G10" s="202"/>
      <c r="H10" s="202"/>
      <c r="I10" s="202"/>
      <c r="J10" s="202"/>
      <c r="K10" s="202"/>
      <c r="L10" s="202"/>
      <c r="M10" s="202"/>
      <c r="N10" s="202"/>
      <c r="O10" s="208"/>
      <c r="P10" s="208"/>
      <c r="Q10" s="208"/>
      <c r="R10" s="208"/>
    </row>
    <row r="11" spans="1:18" ht="12.75" customHeight="1" x14ac:dyDescent="0.25">
      <c r="A11" s="44" t="s">
        <v>332</v>
      </c>
      <c r="B11" s="44"/>
      <c r="C11" s="104" t="s">
        <v>1772</v>
      </c>
      <c r="D11" s="76">
        <v>350.1</v>
      </c>
      <c r="E11" s="76">
        <v>350.2</v>
      </c>
      <c r="F11" s="76">
        <v>352</v>
      </c>
      <c r="G11" s="76">
        <v>353</v>
      </c>
      <c r="H11" s="76">
        <v>354</v>
      </c>
      <c r="I11" s="76">
        <v>355</v>
      </c>
      <c r="J11" s="76">
        <v>356</v>
      </c>
      <c r="K11" s="76">
        <v>357</v>
      </c>
      <c r="L11" s="76">
        <v>358</v>
      </c>
      <c r="M11" s="76">
        <v>359</v>
      </c>
      <c r="N11" s="3" t="s">
        <v>197</v>
      </c>
      <c r="O11" s="208"/>
      <c r="P11" s="208"/>
      <c r="Q11" s="208"/>
      <c r="R11" s="208"/>
    </row>
    <row r="12" spans="1:18" ht="12.75" customHeight="1" x14ac:dyDescent="0.25">
      <c r="A12" s="473">
        <v>1</v>
      </c>
      <c r="B12" s="473"/>
      <c r="C12" s="934" t="s">
        <v>1388</v>
      </c>
      <c r="D12" s="932">
        <v>0</v>
      </c>
      <c r="E12" s="932">
        <v>0</v>
      </c>
      <c r="F12" s="932">
        <v>0</v>
      </c>
      <c r="G12" s="932">
        <v>0</v>
      </c>
      <c r="H12" s="932">
        <v>0</v>
      </c>
      <c r="I12" s="932">
        <v>0</v>
      </c>
      <c r="J12" s="932">
        <v>0</v>
      </c>
      <c r="K12" s="932">
        <v>0</v>
      </c>
      <c r="L12" s="932">
        <v>0</v>
      </c>
      <c r="M12" s="932">
        <v>0</v>
      </c>
      <c r="N12" s="924">
        <v>0</v>
      </c>
      <c r="O12" s="208"/>
      <c r="P12" s="208"/>
      <c r="Q12" s="208"/>
      <c r="R12" s="208"/>
    </row>
    <row r="13" spans="1:18" ht="12.75" customHeight="1" x14ac:dyDescent="0.25">
      <c r="A13" s="473">
        <f>A12+1</f>
        <v>2</v>
      </c>
      <c r="B13" s="473"/>
      <c r="C13" s="934" t="s">
        <v>1388</v>
      </c>
      <c r="D13" s="924">
        <v>0</v>
      </c>
      <c r="E13" s="924">
        <v>0</v>
      </c>
      <c r="F13" s="924">
        <v>0</v>
      </c>
      <c r="G13" s="924">
        <v>0</v>
      </c>
      <c r="H13" s="924">
        <v>0</v>
      </c>
      <c r="I13" s="924">
        <v>0</v>
      </c>
      <c r="J13" s="924">
        <v>0</v>
      </c>
      <c r="K13" s="924">
        <v>0</v>
      </c>
      <c r="L13" s="924">
        <v>0</v>
      </c>
      <c r="M13" s="924">
        <v>0</v>
      </c>
      <c r="N13" s="924">
        <v>0</v>
      </c>
      <c r="O13" s="208"/>
      <c r="P13" s="208"/>
      <c r="Q13" s="208"/>
      <c r="R13" s="208"/>
    </row>
    <row r="14" spans="1:18" ht="12.75" customHeight="1" x14ac:dyDescent="0.25">
      <c r="A14" s="473">
        <f t="shared" ref="A14:A25" si="0">A13+1</f>
        <v>3</v>
      </c>
      <c r="B14" s="473"/>
      <c r="C14" s="934" t="s">
        <v>1388</v>
      </c>
      <c r="D14" s="924">
        <v>0</v>
      </c>
      <c r="E14" s="924">
        <v>0</v>
      </c>
      <c r="F14" s="924">
        <v>0</v>
      </c>
      <c r="G14" s="924">
        <v>0</v>
      </c>
      <c r="H14" s="924">
        <v>0</v>
      </c>
      <c r="I14" s="924">
        <v>0</v>
      </c>
      <c r="J14" s="924">
        <v>0</v>
      </c>
      <c r="K14" s="924">
        <v>0</v>
      </c>
      <c r="L14" s="924">
        <v>0</v>
      </c>
      <c r="M14" s="924">
        <v>0</v>
      </c>
      <c r="N14" s="924">
        <v>0</v>
      </c>
      <c r="O14" s="208"/>
      <c r="P14" s="208"/>
      <c r="Q14" s="208"/>
      <c r="R14" s="208"/>
    </row>
    <row r="15" spans="1:18" ht="12.75" customHeight="1" x14ac:dyDescent="0.25">
      <c r="A15" s="473">
        <f t="shared" si="0"/>
        <v>4</v>
      </c>
      <c r="B15" s="473"/>
      <c r="C15" s="934" t="s">
        <v>1388</v>
      </c>
      <c r="D15" s="924">
        <v>0</v>
      </c>
      <c r="E15" s="924">
        <v>0</v>
      </c>
      <c r="F15" s="924">
        <v>0</v>
      </c>
      <c r="G15" s="924">
        <v>0</v>
      </c>
      <c r="H15" s="924">
        <v>0</v>
      </c>
      <c r="I15" s="924">
        <v>0</v>
      </c>
      <c r="J15" s="924">
        <v>0</v>
      </c>
      <c r="K15" s="924">
        <v>0</v>
      </c>
      <c r="L15" s="924">
        <v>0</v>
      </c>
      <c r="M15" s="924">
        <v>0</v>
      </c>
      <c r="N15" s="924">
        <v>0</v>
      </c>
      <c r="O15" s="208"/>
      <c r="P15" s="208"/>
      <c r="Q15" s="208"/>
      <c r="R15" s="208"/>
    </row>
    <row r="16" spans="1:18" ht="12.75" customHeight="1" x14ac:dyDescent="0.25">
      <c r="A16" s="473">
        <f t="shared" si="0"/>
        <v>5</v>
      </c>
      <c r="B16" s="473"/>
      <c r="C16" s="934" t="s">
        <v>1388</v>
      </c>
      <c r="D16" s="924">
        <v>0</v>
      </c>
      <c r="E16" s="924">
        <v>0</v>
      </c>
      <c r="F16" s="924">
        <v>0</v>
      </c>
      <c r="G16" s="924">
        <v>0</v>
      </c>
      <c r="H16" s="924">
        <v>0</v>
      </c>
      <c r="I16" s="924">
        <v>0</v>
      </c>
      <c r="J16" s="924">
        <v>0</v>
      </c>
      <c r="K16" s="924">
        <v>0</v>
      </c>
      <c r="L16" s="924">
        <v>0</v>
      </c>
      <c r="M16" s="924">
        <v>0</v>
      </c>
      <c r="N16" s="924">
        <v>0</v>
      </c>
      <c r="O16" s="208"/>
      <c r="P16" s="208"/>
      <c r="Q16" s="208"/>
      <c r="R16" s="208"/>
    </row>
    <row r="17" spans="1:18" ht="12.75" customHeight="1" x14ac:dyDescent="0.25">
      <c r="A17" s="473">
        <f t="shared" si="0"/>
        <v>6</v>
      </c>
      <c r="B17" s="473"/>
      <c r="C17" s="934" t="s">
        <v>1388</v>
      </c>
      <c r="D17" s="924">
        <v>0</v>
      </c>
      <c r="E17" s="924">
        <v>0</v>
      </c>
      <c r="F17" s="924">
        <v>0</v>
      </c>
      <c r="G17" s="924">
        <v>0</v>
      </c>
      <c r="H17" s="924">
        <v>0</v>
      </c>
      <c r="I17" s="924">
        <v>0</v>
      </c>
      <c r="J17" s="924">
        <v>0</v>
      </c>
      <c r="K17" s="924">
        <v>0</v>
      </c>
      <c r="L17" s="924">
        <v>0</v>
      </c>
      <c r="M17" s="924">
        <v>0</v>
      </c>
      <c r="N17" s="924">
        <v>0</v>
      </c>
      <c r="O17" s="208"/>
      <c r="P17" s="208"/>
      <c r="Q17" s="208"/>
      <c r="R17" s="208"/>
    </row>
    <row r="18" spans="1:18" ht="12.75" customHeight="1" x14ac:dyDescent="0.25">
      <c r="A18" s="473">
        <f t="shared" si="0"/>
        <v>7</v>
      </c>
      <c r="B18" s="473"/>
      <c r="C18" s="934" t="s">
        <v>1388</v>
      </c>
      <c r="D18" s="924">
        <v>0</v>
      </c>
      <c r="E18" s="924">
        <v>0</v>
      </c>
      <c r="F18" s="924">
        <v>0</v>
      </c>
      <c r="G18" s="924">
        <v>0</v>
      </c>
      <c r="H18" s="924">
        <v>0</v>
      </c>
      <c r="I18" s="924">
        <v>0</v>
      </c>
      <c r="J18" s="924">
        <v>0</v>
      </c>
      <c r="K18" s="924">
        <v>0</v>
      </c>
      <c r="L18" s="924">
        <v>0</v>
      </c>
      <c r="M18" s="924">
        <v>0</v>
      </c>
      <c r="N18" s="924">
        <v>0</v>
      </c>
      <c r="O18" s="208"/>
      <c r="P18" s="208"/>
      <c r="Q18" s="208"/>
      <c r="R18" s="208"/>
    </row>
    <row r="19" spans="1:18" ht="12.75" customHeight="1" x14ac:dyDescent="0.25">
      <c r="A19" s="473">
        <f t="shared" si="0"/>
        <v>8</v>
      </c>
      <c r="B19" s="473"/>
      <c r="C19" s="934" t="s">
        <v>1388</v>
      </c>
      <c r="D19" s="924">
        <v>0</v>
      </c>
      <c r="E19" s="924">
        <v>0</v>
      </c>
      <c r="F19" s="924">
        <v>0</v>
      </c>
      <c r="G19" s="924">
        <v>0</v>
      </c>
      <c r="H19" s="924">
        <v>0</v>
      </c>
      <c r="I19" s="924">
        <v>0</v>
      </c>
      <c r="J19" s="924">
        <v>0</v>
      </c>
      <c r="K19" s="924">
        <v>0</v>
      </c>
      <c r="L19" s="924">
        <v>0</v>
      </c>
      <c r="M19" s="924">
        <v>0</v>
      </c>
      <c r="N19" s="924">
        <v>0</v>
      </c>
      <c r="O19" s="208"/>
      <c r="P19" s="208"/>
      <c r="Q19" s="208"/>
      <c r="R19" s="208"/>
    </row>
    <row r="20" spans="1:18" ht="12.75" customHeight="1" x14ac:dyDescent="0.25">
      <c r="A20" s="473">
        <f t="shared" si="0"/>
        <v>9</v>
      </c>
      <c r="B20" s="473"/>
      <c r="C20" s="934" t="s">
        <v>1388</v>
      </c>
      <c r="D20" s="924">
        <v>0</v>
      </c>
      <c r="E20" s="924">
        <v>0</v>
      </c>
      <c r="F20" s="924">
        <v>0</v>
      </c>
      <c r="G20" s="924">
        <v>0</v>
      </c>
      <c r="H20" s="924">
        <v>0</v>
      </c>
      <c r="I20" s="924">
        <v>0</v>
      </c>
      <c r="J20" s="924">
        <v>0</v>
      </c>
      <c r="K20" s="924">
        <v>0</v>
      </c>
      <c r="L20" s="924">
        <v>0</v>
      </c>
      <c r="M20" s="924">
        <v>0</v>
      </c>
      <c r="N20" s="924">
        <v>0</v>
      </c>
      <c r="O20" s="208"/>
      <c r="P20" s="208"/>
      <c r="Q20" s="208"/>
      <c r="R20" s="208"/>
    </row>
    <row r="21" spans="1:18" ht="12.75" customHeight="1" x14ac:dyDescent="0.25">
      <c r="A21" s="473">
        <f t="shared" si="0"/>
        <v>10</v>
      </c>
      <c r="B21" s="473"/>
      <c r="C21" s="934" t="s">
        <v>1388</v>
      </c>
      <c r="D21" s="924">
        <v>0</v>
      </c>
      <c r="E21" s="924">
        <v>0</v>
      </c>
      <c r="F21" s="924">
        <v>0</v>
      </c>
      <c r="G21" s="924">
        <v>0</v>
      </c>
      <c r="H21" s="924">
        <v>0</v>
      </c>
      <c r="I21" s="924">
        <v>0</v>
      </c>
      <c r="J21" s="924">
        <v>0</v>
      </c>
      <c r="K21" s="924">
        <v>0</v>
      </c>
      <c r="L21" s="924">
        <v>0</v>
      </c>
      <c r="M21" s="924">
        <v>0</v>
      </c>
      <c r="N21" s="924">
        <v>0</v>
      </c>
      <c r="O21" s="208"/>
      <c r="P21" s="208"/>
      <c r="Q21" s="208"/>
      <c r="R21" s="208"/>
    </row>
    <row r="22" spans="1:18" ht="12.75" customHeight="1" x14ac:dyDescent="0.25">
      <c r="A22" s="473">
        <f t="shared" si="0"/>
        <v>11</v>
      </c>
      <c r="B22" s="473"/>
      <c r="C22" s="934" t="s">
        <v>1388</v>
      </c>
      <c r="D22" s="924">
        <v>0</v>
      </c>
      <c r="E22" s="924">
        <v>0</v>
      </c>
      <c r="F22" s="924">
        <v>0</v>
      </c>
      <c r="G22" s="924">
        <v>0</v>
      </c>
      <c r="H22" s="924">
        <v>0</v>
      </c>
      <c r="I22" s="924">
        <v>0</v>
      </c>
      <c r="J22" s="924">
        <v>0</v>
      </c>
      <c r="K22" s="924">
        <v>0</v>
      </c>
      <c r="L22" s="924">
        <v>0</v>
      </c>
      <c r="M22" s="924">
        <v>0</v>
      </c>
      <c r="N22" s="924">
        <v>0</v>
      </c>
      <c r="O22" s="208"/>
      <c r="P22" s="208"/>
      <c r="Q22" s="208"/>
      <c r="R22" s="208"/>
    </row>
    <row r="23" spans="1:18" ht="12.75" customHeight="1" x14ac:dyDescent="0.25">
      <c r="A23" s="473">
        <f t="shared" si="0"/>
        <v>12</v>
      </c>
      <c r="B23" s="473"/>
      <c r="C23" s="934" t="s">
        <v>1388</v>
      </c>
      <c r="D23" s="924">
        <v>0</v>
      </c>
      <c r="E23" s="924">
        <v>0</v>
      </c>
      <c r="F23" s="924">
        <v>0</v>
      </c>
      <c r="G23" s="924">
        <v>0</v>
      </c>
      <c r="H23" s="924">
        <v>0</v>
      </c>
      <c r="I23" s="924">
        <v>0</v>
      </c>
      <c r="J23" s="924">
        <v>0</v>
      </c>
      <c r="K23" s="924">
        <v>0</v>
      </c>
      <c r="L23" s="924">
        <v>0</v>
      </c>
      <c r="M23" s="924">
        <v>0</v>
      </c>
      <c r="N23" s="924">
        <v>0</v>
      </c>
      <c r="O23" s="208"/>
      <c r="P23" s="208"/>
      <c r="Q23" s="208"/>
      <c r="R23" s="208"/>
    </row>
    <row r="24" spans="1:18" ht="15" x14ac:dyDescent="0.4">
      <c r="A24" s="473">
        <f t="shared" si="0"/>
        <v>13</v>
      </c>
      <c r="B24" s="473"/>
      <c r="C24" s="934" t="s">
        <v>1388</v>
      </c>
      <c r="D24" s="933">
        <v>0</v>
      </c>
      <c r="E24" s="933">
        <v>0</v>
      </c>
      <c r="F24" s="933">
        <v>0</v>
      </c>
      <c r="G24" s="933">
        <v>0</v>
      </c>
      <c r="H24" s="933">
        <v>0</v>
      </c>
      <c r="I24" s="933">
        <v>0</v>
      </c>
      <c r="J24" s="933">
        <v>0</v>
      </c>
      <c r="K24" s="933">
        <v>0</v>
      </c>
      <c r="L24" s="933">
        <v>0</v>
      </c>
      <c r="M24" s="933">
        <v>0</v>
      </c>
      <c r="N24" s="925">
        <v>0</v>
      </c>
      <c r="O24" s="208"/>
      <c r="P24" s="208"/>
      <c r="Q24" s="208"/>
      <c r="R24" s="208"/>
    </row>
    <row r="25" spans="1:18" x14ac:dyDescent="0.25">
      <c r="A25" s="473">
        <f t="shared" si="0"/>
        <v>14</v>
      </c>
      <c r="B25" s="202"/>
      <c r="C25" s="476" t="s">
        <v>1196</v>
      </c>
      <c r="D25" s="924">
        <v>0</v>
      </c>
      <c r="E25" s="924">
        <v>0</v>
      </c>
      <c r="F25" s="924">
        <v>0</v>
      </c>
      <c r="G25" s="924">
        <v>0</v>
      </c>
      <c r="H25" s="924">
        <v>0</v>
      </c>
      <c r="I25" s="924">
        <v>0</v>
      </c>
      <c r="J25" s="924">
        <v>0</v>
      </c>
      <c r="K25" s="924">
        <v>0</v>
      </c>
      <c r="L25" s="924">
        <v>0</v>
      </c>
      <c r="M25" s="924">
        <v>0</v>
      </c>
      <c r="N25" s="924">
        <v>0</v>
      </c>
      <c r="O25" s="208"/>
      <c r="P25" s="208"/>
      <c r="Q25" s="208"/>
      <c r="R25" s="208"/>
    </row>
    <row r="26" spans="1:18" x14ac:dyDescent="0.25">
      <c r="A26" s="202"/>
      <c r="B26" s="202"/>
      <c r="C26" s="202"/>
      <c r="D26" s="202"/>
      <c r="E26" s="202"/>
      <c r="F26" s="202"/>
      <c r="G26" s="202"/>
      <c r="H26" s="202"/>
      <c r="I26" s="202"/>
      <c r="J26" s="202"/>
      <c r="K26" s="202"/>
      <c r="L26" s="202"/>
      <c r="M26" s="202"/>
      <c r="N26" s="202"/>
      <c r="O26" s="208"/>
      <c r="P26" s="208"/>
      <c r="Q26" s="208"/>
      <c r="R26" s="208"/>
    </row>
    <row r="27" spans="1:18" x14ac:dyDescent="0.25">
      <c r="A27" s="202"/>
      <c r="B27" s="364" t="s">
        <v>1547</v>
      </c>
      <c r="C27" s="202"/>
      <c r="D27" s="202"/>
      <c r="E27" s="202"/>
      <c r="F27" s="202"/>
      <c r="G27" s="202"/>
      <c r="H27" s="202"/>
      <c r="I27" s="202"/>
      <c r="J27" s="202"/>
      <c r="K27" s="202"/>
      <c r="L27" s="202"/>
      <c r="M27" s="202"/>
      <c r="N27" s="202"/>
      <c r="O27" s="208"/>
      <c r="P27" s="208"/>
      <c r="Q27" s="208"/>
      <c r="R27" s="208"/>
    </row>
    <row r="28" spans="1:18" x14ac:dyDescent="0.25">
      <c r="A28" s="202"/>
      <c r="B28" s="364"/>
      <c r="C28" s="202"/>
      <c r="D28" s="202"/>
      <c r="E28" s="202"/>
      <c r="F28" s="202"/>
      <c r="G28" s="202"/>
      <c r="H28" s="202"/>
      <c r="I28" s="202"/>
      <c r="J28" s="202"/>
      <c r="K28" s="202"/>
      <c r="L28" s="202"/>
      <c r="M28" s="202"/>
      <c r="N28" s="202"/>
      <c r="O28" s="208"/>
      <c r="P28" s="208"/>
      <c r="Q28" s="208"/>
      <c r="R28" s="208"/>
    </row>
    <row r="29" spans="1:18" x14ac:dyDescent="0.25">
      <c r="A29" s="202"/>
      <c r="B29" s="202"/>
      <c r="C29" s="76" t="s">
        <v>363</v>
      </c>
      <c r="D29" s="76" t="s">
        <v>347</v>
      </c>
      <c r="E29" s="76" t="s">
        <v>348</v>
      </c>
      <c r="F29" s="76" t="s">
        <v>349</v>
      </c>
      <c r="G29" s="76" t="s">
        <v>350</v>
      </c>
      <c r="H29" s="202"/>
      <c r="I29" s="202"/>
      <c r="J29" s="202"/>
      <c r="K29" s="202"/>
      <c r="L29" s="202"/>
      <c r="M29" s="202"/>
      <c r="N29" s="202"/>
      <c r="O29" s="208"/>
      <c r="P29" s="208"/>
      <c r="Q29" s="208"/>
      <c r="R29" s="208"/>
    </row>
    <row r="30" spans="1:18" x14ac:dyDescent="0.25">
      <c r="A30" s="202"/>
      <c r="B30" s="202"/>
      <c r="C30" s="202"/>
      <c r="D30" s="492" t="s">
        <v>12</v>
      </c>
      <c r="E30" s="202"/>
      <c r="F30" s="202"/>
      <c r="G30" s="428" t="s">
        <v>1663</v>
      </c>
      <c r="H30" s="202"/>
      <c r="I30" s="202"/>
      <c r="J30" s="202"/>
      <c r="K30" s="202"/>
      <c r="L30" s="202"/>
      <c r="M30" s="202"/>
      <c r="N30" s="202"/>
      <c r="O30" s="494"/>
      <c r="P30" s="208"/>
      <c r="Q30" s="208"/>
      <c r="R30" s="208"/>
    </row>
    <row r="31" spans="1:18" x14ac:dyDescent="0.25">
      <c r="A31" s="202"/>
      <c r="B31" s="202"/>
      <c r="C31" s="202"/>
      <c r="D31" s="492" t="s">
        <v>968</v>
      </c>
      <c r="E31" s="202"/>
      <c r="F31" s="202"/>
      <c r="G31" s="202"/>
      <c r="H31" s="202"/>
      <c r="I31" s="202"/>
      <c r="J31" s="202"/>
      <c r="K31" s="202"/>
      <c r="L31" s="202"/>
      <c r="M31" s="202"/>
      <c r="N31" s="202"/>
      <c r="O31" s="430"/>
      <c r="P31" s="208"/>
      <c r="Q31" s="208"/>
      <c r="R31" s="208"/>
    </row>
    <row r="32" spans="1:18" x14ac:dyDescent="0.25">
      <c r="A32" s="202"/>
      <c r="B32" s="202"/>
      <c r="C32" s="104" t="s">
        <v>1772</v>
      </c>
      <c r="D32" s="76">
        <v>360</v>
      </c>
      <c r="E32" s="76">
        <v>361</v>
      </c>
      <c r="F32" s="76">
        <v>362</v>
      </c>
      <c r="G32" s="3" t="s">
        <v>197</v>
      </c>
      <c r="H32" s="897" t="s">
        <v>169</v>
      </c>
      <c r="I32" s="208"/>
      <c r="J32" s="208"/>
      <c r="K32" s="202"/>
      <c r="L32" s="202"/>
      <c r="M32" s="202"/>
      <c r="N32" s="202"/>
      <c r="O32" s="430"/>
      <c r="P32" s="208"/>
      <c r="Q32" s="208"/>
      <c r="R32" s="208"/>
    </row>
    <row r="33" spans="1:18" x14ac:dyDescent="0.25">
      <c r="A33" s="473">
        <f>A25+1</f>
        <v>15</v>
      </c>
      <c r="C33" s="934" t="s">
        <v>1388</v>
      </c>
      <c r="D33" s="932">
        <v>0</v>
      </c>
      <c r="E33" s="932">
        <v>0</v>
      </c>
      <c r="F33" s="932">
        <v>0</v>
      </c>
      <c r="G33" s="204">
        <f>SUM(D33:F33)</f>
        <v>0</v>
      </c>
      <c r="H33" s="442" t="s">
        <v>1773</v>
      </c>
      <c r="I33" s="208"/>
      <c r="J33" s="208"/>
      <c r="K33" s="202"/>
      <c r="L33" s="202"/>
      <c r="M33" s="202"/>
      <c r="N33" s="202"/>
      <c r="O33" s="430"/>
      <c r="P33" s="208"/>
      <c r="Q33" s="208"/>
      <c r="R33" s="208"/>
    </row>
    <row r="34" spans="1:18" ht="15" x14ac:dyDescent="0.4">
      <c r="A34" s="473">
        <v>16</v>
      </c>
      <c r="C34" s="934" t="s">
        <v>1388</v>
      </c>
      <c r="D34" s="933">
        <v>0</v>
      </c>
      <c r="E34" s="933">
        <v>0</v>
      </c>
      <c r="F34" s="933">
        <v>0</v>
      </c>
      <c r="G34" s="325">
        <f>SUM(D34:F34)</f>
        <v>0</v>
      </c>
      <c r="H34" s="442" t="s">
        <v>90</v>
      </c>
      <c r="I34" s="208"/>
      <c r="J34" s="208"/>
      <c r="K34" s="202"/>
      <c r="L34" s="202"/>
      <c r="O34" s="430"/>
      <c r="P34" s="208"/>
      <c r="Q34" s="208"/>
      <c r="R34" s="208"/>
    </row>
    <row r="35" spans="1:18" x14ac:dyDescent="0.25">
      <c r="A35" s="473">
        <f>A34+1</f>
        <v>17</v>
      </c>
      <c r="C35" s="203" t="s">
        <v>1327</v>
      </c>
      <c r="D35" s="924">
        <v>0</v>
      </c>
      <c r="E35" s="924">
        <v>0</v>
      </c>
      <c r="F35" s="924">
        <v>0</v>
      </c>
      <c r="G35" s="204">
        <f>AVERAGE(G33:G34)</f>
        <v>0</v>
      </c>
      <c r="H35" s="213" t="str">
        <f>"Average of Line "&amp;A33&amp;" and Line "&amp;A34&amp;""</f>
        <v>Average of Line 15 and Line 16</v>
      </c>
      <c r="I35" s="202"/>
      <c r="J35" s="202"/>
      <c r="K35" s="202"/>
      <c r="M35" s="474"/>
      <c r="N35" s="456"/>
      <c r="O35" s="430"/>
      <c r="P35" s="208"/>
      <c r="Q35" s="208"/>
      <c r="R35" s="208"/>
    </row>
    <row r="36" spans="1:18" x14ac:dyDescent="0.25">
      <c r="C36" s="203"/>
      <c r="I36" s="202"/>
      <c r="J36" s="202"/>
      <c r="K36" s="202"/>
      <c r="M36" s="484"/>
      <c r="N36" s="486"/>
      <c r="O36" s="430"/>
      <c r="P36" s="208"/>
      <c r="Q36" s="208"/>
      <c r="R36" s="208"/>
    </row>
    <row r="37" spans="1:18" x14ac:dyDescent="0.25">
      <c r="B37" s="364" t="s">
        <v>1544</v>
      </c>
      <c r="I37" s="202"/>
      <c r="J37" s="202"/>
      <c r="K37" s="202"/>
      <c r="L37" s="202"/>
      <c r="M37" s="474"/>
      <c r="N37" s="486"/>
      <c r="O37" s="430"/>
      <c r="P37" s="208"/>
      <c r="Q37" s="208"/>
      <c r="R37" s="208"/>
    </row>
    <row r="38" spans="1:18" ht="14.4" x14ac:dyDescent="0.3">
      <c r="B38" s="327"/>
      <c r="C38" s="318" t="s">
        <v>363</v>
      </c>
      <c r="D38" s="318" t="s">
        <v>347</v>
      </c>
      <c r="E38" s="318" t="s">
        <v>348</v>
      </c>
      <c r="F38" s="318" t="s">
        <v>349</v>
      </c>
      <c r="G38" s="318" t="s">
        <v>350</v>
      </c>
      <c r="J38" s="202"/>
      <c r="K38" s="205"/>
      <c r="L38" s="202"/>
      <c r="O38" s="208"/>
      <c r="P38" s="208"/>
      <c r="Q38" s="208"/>
      <c r="R38" s="208"/>
    </row>
    <row r="39" spans="1:18" ht="14.4" x14ac:dyDescent="0.3">
      <c r="B39" s="327"/>
      <c r="C39" s="318"/>
      <c r="D39" s="318"/>
      <c r="E39" s="514" t="s">
        <v>1800</v>
      </c>
      <c r="F39" s="318"/>
      <c r="G39" s="318"/>
      <c r="J39" s="202"/>
      <c r="K39" s="205"/>
      <c r="L39" s="202"/>
      <c r="O39" s="208"/>
      <c r="P39" s="208"/>
      <c r="Q39" s="208"/>
      <c r="R39" s="208"/>
    </row>
    <row r="40" spans="1:18" x14ac:dyDescent="0.25">
      <c r="C40" s="13"/>
      <c r="D40" s="13"/>
      <c r="E40" s="420" t="s">
        <v>197</v>
      </c>
      <c r="F40" s="13"/>
      <c r="G40" s="13"/>
      <c r="J40" s="202"/>
      <c r="K40" s="205"/>
      <c r="L40" s="202"/>
      <c r="O40" s="208"/>
      <c r="P40" s="208"/>
      <c r="Q40" s="208"/>
      <c r="R40" s="208"/>
    </row>
    <row r="41" spans="1:18" x14ac:dyDescent="0.25">
      <c r="B41" s="202"/>
      <c r="C41" s="13"/>
      <c r="D41" s="208"/>
      <c r="E41" s="420" t="s">
        <v>1799</v>
      </c>
      <c r="F41" s="94" t="s">
        <v>1217</v>
      </c>
      <c r="G41" s="94" t="s">
        <v>1218</v>
      </c>
      <c r="J41" s="202"/>
      <c r="K41" s="205"/>
      <c r="L41" s="202"/>
      <c r="O41" s="208"/>
      <c r="P41" s="208"/>
      <c r="Q41" s="208"/>
      <c r="R41" s="208"/>
    </row>
    <row r="42" spans="1:18" x14ac:dyDescent="0.25">
      <c r="B42" s="202"/>
      <c r="C42" s="13"/>
      <c r="D42" s="208"/>
      <c r="E42" s="420" t="s">
        <v>1328</v>
      </c>
      <c r="F42" s="420" t="s">
        <v>1328</v>
      </c>
      <c r="G42" s="420" t="s">
        <v>1328</v>
      </c>
      <c r="J42" s="202"/>
      <c r="K42" s="205"/>
      <c r="L42" s="202"/>
      <c r="Q42" s="208"/>
      <c r="R42" s="208"/>
    </row>
    <row r="43" spans="1:18" x14ac:dyDescent="0.25">
      <c r="B43" s="202"/>
      <c r="C43" s="104" t="s">
        <v>1772</v>
      </c>
      <c r="D43" s="208"/>
      <c r="E43" s="421" t="s">
        <v>1329</v>
      </c>
      <c r="F43" s="421" t="s">
        <v>1329</v>
      </c>
      <c r="G43" s="421" t="s">
        <v>1329</v>
      </c>
      <c r="H43" s="369" t="s">
        <v>180</v>
      </c>
      <c r="J43" s="202"/>
      <c r="K43" s="326"/>
      <c r="L43" s="202"/>
      <c r="O43" s="208"/>
      <c r="P43" s="208"/>
      <c r="Q43" s="208"/>
      <c r="R43" s="208"/>
    </row>
    <row r="44" spans="1:18" x14ac:dyDescent="0.25">
      <c r="A44" s="473">
        <f>A35+1</f>
        <v>18</v>
      </c>
      <c r="B44" s="202"/>
      <c r="C44" s="934" t="s">
        <v>1388</v>
      </c>
      <c r="D44" s="477" t="s">
        <v>1325</v>
      </c>
      <c r="E44" s="924">
        <v>0</v>
      </c>
      <c r="F44" s="932">
        <v>0</v>
      </c>
      <c r="G44" s="932">
        <v>0</v>
      </c>
      <c r="H44" s="430" t="s">
        <v>1801</v>
      </c>
      <c r="I44" s="13"/>
      <c r="J44" s="208"/>
      <c r="L44" s="202"/>
      <c r="O44" s="208"/>
      <c r="P44" s="208"/>
      <c r="Q44" s="208"/>
      <c r="R44" s="208"/>
    </row>
    <row r="45" spans="1:18" ht="15" x14ac:dyDescent="0.4">
      <c r="A45" s="473">
        <f>A44+1</f>
        <v>19</v>
      </c>
      <c r="B45" s="202"/>
      <c r="C45" s="934" t="s">
        <v>1388</v>
      </c>
      <c r="D45" s="203" t="s">
        <v>1326</v>
      </c>
      <c r="E45" s="925">
        <v>0</v>
      </c>
      <c r="F45" s="932">
        <v>0</v>
      </c>
      <c r="G45" s="932">
        <v>0</v>
      </c>
      <c r="H45" s="430" t="s">
        <v>1802</v>
      </c>
      <c r="I45" s="13"/>
      <c r="J45" s="208"/>
      <c r="K45" s="493"/>
      <c r="L45" s="202"/>
      <c r="O45" s="208"/>
      <c r="P45" s="208"/>
      <c r="Q45" s="208"/>
      <c r="R45" s="208"/>
    </row>
    <row r="46" spans="1:18" x14ac:dyDescent="0.25">
      <c r="A46" s="473">
        <f>A45+1</f>
        <v>20</v>
      </c>
      <c r="B46" s="202"/>
      <c r="D46" s="203" t="s">
        <v>1327</v>
      </c>
      <c r="E46" s="924">
        <v>0</v>
      </c>
      <c r="H46" s="213" t="str">
        <f>"Average of Line "&amp;A44&amp;" and Line "&amp;A45&amp;""</f>
        <v>Average of Line 18 and Line 19</v>
      </c>
      <c r="J46" s="202"/>
      <c r="K46" s="493"/>
      <c r="L46" s="202"/>
      <c r="O46" s="208"/>
      <c r="P46" s="208"/>
      <c r="Q46" s="208"/>
      <c r="R46" s="208"/>
    </row>
    <row r="47" spans="1:18" x14ac:dyDescent="0.25">
      <c r="I47" s="202"/>
      <c r="J47" s="202"/>
      <c r="K47" s="202"/>
      <c r="L47" s="202"/>
      <c r="O47" s="208"/>
      <c r="P47" s="208"/>
      <c r="Q47" s="208"/>
      <c r="R47" s="208"/>
    </row>
    <row r="48" spans="1:18" x14ac:dyDescent="0.25">
      <c r="B48" s="1" t="s">
        <v>1330</v>
      </c>
      <c r="C48" s="20"/>
      <c r="D48" s="481"/>
      <c r="E48" s="202"/>
      <c r="F48" s="202"/>
      <c r="G48" s="202"/>
      <c r="H48" s="202"/>
      <c r="I48" s="202"/>
      <c r="J48" s="202"/>
      <c r="K48" s="202"/>
      <c r="L48" s="202"/>
      <c r="M48" s="202"/>
      <c r="N48" s="202"/>
      <c r="O48" s="208"/>
      <c r="P48" s="208"/>
      <c r="Q48" s="208"/>
      <c r="R48" s="208"/>
    </row>
    <row r="49" spans="1:18" x14ac:dyDescent="0.25">
      <c r="B49" s="1"/>
      <c r="C49" s="20"/>
      <c r="D49" s="481"/>
      <c r="E49" s="202"/>
      <c r="F49" s="202"/>
      <c r="G49" s="202"/>
      <c r="H49" s="202"/>
      <c r="I49" s="202"/>
      <c r="J49" s="202"/>
      <c r="K49" s="202"/>
      <c r="L49" s="202"/>
      <c r="M49" s="202"/>
      <c r="N49" s="202"/>
      <c r="O49" s="208"/>
      <c r="P49" s="208"/>
      <c r="Q49" s="208"/>
      <c r="R49" s="208"/>
    </row>
    <row r="50" spans="1:18" x14ac:dyDescent="0.25">
      <c r="B50" s="202"/>
      <c r="C50" s="1"/>
      <c r="D50" s="20"/>
      <c r="E50" s="481"/>
      <c r="F50" s="326" t="s">
        <v>176</v>
      </c>
      <c r="G50" s="369" t="s">
        <v>180</v>
      </c>
      <c r="H50" s="202"/>
      <c r="I50" s="202"/>
      <c r="J50" s="202"/>
      <c r="K50" s="202"/>
      <c r="L50" s="202"/>
      <c r="M50" s="202"/>
      <c r="N50" s="202"/>
      <c r="O50" s="208"/>
      <c r="P50" s="208"/>
      <c r="Q50" s="208"/>
      <c r="R50" s="208"/>
    </row>
    <row r="51" spans="1:18" x14ac:dyDescent="0.25">
      <c r="A51" s="473">
        <f>A46+1</f>
        <v>21</v>
      </c>
      <c r="B51" s="202"/>
      <c r="C51" s="20"/>
      <c r="D51" s="20"/>
      <c r="E51" s="477" t="s">
        <v>1331</v>
      </c>
      <c r="F51" s="924">
        <v>0</v>
      </c>
      <c r="G51" s="213" t="str">
        <f>"Line "&amp;A46&amp;""</f>
        <v>Line 20</v>
      </c>
      <c r="H51" s="202"/>
      <c r="I51" s="202"/>
      <c r="J51" s="202"/>
      <c r="K51" s="202"/>
      <c r="L51" s="202"/>
      <c r="M51" s="202"/>
      <c r="N51" s="202"/>
      <c r="O51" s="208"/>
      <c r="P51" s="208"/>
      <c r="Q51" s="208"/>
      <c r="R51" s="208"/>
    </row>
    <row r="52" spans="1:18" x14ac:dyDescent="0.25">
      <c r="A52" s="473">
        <f>A51+1</f>
        <v>22</v>
      </c>
      <c r="B52" s="202"/>
      <c r="C52" s="20"/>
      <c r="D52" s="20"/>
      <c r="E52" s="489" t="s">
        <v>242</v>
      </c>
      <c r="F52" s="927" t="s">
        <v>2193</v>
      </c>
      <c r="G52" s="430" t="str">
        <f>"27-Allocators, Line "&amp;'27-Allocators'!A15&amp;""</f>
        <v>27-Allocators, Line 9</v>
      </c>
      <c r="H52" s="202"/>
      <c r="I52" s="202"/>
      <c r="J52" s="202"/>
      <c r="K52" s="202"/>
      <c r="L52" s="202"/>
      <c r="M52" s="202"/>
      <c r="N52" s="202"/>
      <c r="O52" s="208"/>
      <c r="P52" s="208"/>
      <c r="Q52" s="208"/>
      <c r="R52" s="208"/>
    </row>
    <row r="53" spans="1:18" x14ac:dyDescent="0.25">
      <c r="A53" s="473">
        <f>A52+1</f>
        <v>23</v>
      </c>
      <c r="B53" s="202"/>
      <c r="C53" s="20"/>
      <c r="D53" s="20"/>
      <c r="E53" s="489" t="s">
        <v>1332</v>
      </c>
      <c r="F53" s="924">
        <v>0</v>
      </c>
      <c r="G53" s="213" t="str">
        <f>"Line "&amp;A51&amp;" * Line "&amp;A52&amp;""</f>
        <v>Line 21 * Line 22</v>
      </c>
      <c r="H53" s="202"/>
      <c r="I53" s="202"/>
      <c r="J53" s="202"/>
      <c r="K53" s="202"/>
      <c r="L53" s="202"/>
      <c r="M53" s="202"/>
      <c r="O53" s="208"/>
      <c r="P53" s="208"/>
      <c r="Q53" s="208"/>
      <c r="R53" s="208"/>
    </row>
    <row r="54" spans="1:18" x14ac:dyDescent="0.25">
      <c r="B54" s="20"/>
      <c r="C54" s="20"/>
      <c r="D54" s="489"/>
      <c r="E54" s="478"/>
      <c r="F54" s="202"/>
      <c r="G54" s="202"/>
      <c r="H54" s="202"/>
      <c r="I54" s="202"/>
      <c r="J54" s="202"/>
      <c r="K54" s="202"/>
      <c r="L54" s="202"/>
      <c r="M54" s="202"/>
      <c r="O54" s="208"/>
      <c r="P54" s="208"/>
      <c r="Q54" s="208"/>
      <c r="R54" s="208"/>
    </row>
    <row r="55" spans="1:18" x14ac:dyDescent="0.25">
      <c r="B55" s="1" t="s">
        <v>2204</v>
      </c>
      <c r="C55" s="20"/>
      <c r="D55" s="481"/>
      <c r="E55" s="202"/>
      <c r="F55" s="202"/>
      <c r="G55" s="202"/>
      <c r="H55" s="202"/>
      <c r="I55" s="202"/>
      <c r="J55" s="202"/>
      <c r="K55" s="202"/>
      <c r="L55" s="202"/>
      <c r="M55" s="202"/>
      <c r="O55" s="208"/>
      <c r="P55" s="208"/>
      <c r="Q55" s="208"/>
      <c r="R55" s="208"/>
    </row>
    <row r="56" spans="1:18" x14ac:dyDescent="0.25">
      <c r="B56" s="202"/>
      <c r="C56" s="202"/>
      <c r="D56" s="202"/>
      <c r="E56" s="202"/>
      <c r="F56" s="202"/>
      <c r="G56" s="202"/>
      <c r="H56" s="202"/>
      <c r="I56" s="202"/>
      <c r="J56" s="202"/>
      <c r="K56" s="202"/>
      <c r="L56" s="202"/>
      <c r="M56" s="202"/>
      <c r="O56" s="495"/>
      <c r="P56" s="67"/>
      <c r="Q56" s="208"/>
      <c r="R56" s="208"/>
    </row>
    <row r="57" spans="1:18" x14ac:dyDescent="0.25">
      <c r="B57" s="202"/>
      <c r="C57" s="202"/>
      <c r="D57" s="202"/>
      <c r="E57" s="202"/>
      <c r="F57" s="326" t="s">
        <v>176</v>
      </c>
      <c r="G57" s="369" t="s">
        <v>180</v>
      </c>
      <c r="H57" s="202"/>
      <c r="I57" s="202"/>
      <c r="J57" s="202"/>
      <c r="K57" s="202"/>
      <c r="L57" s="202"/>
      <c r="M57" s="202"/>
      <c r="O57" s="392"/>
      <c r="P57" s="392"/>
      <c r="Q57" s="208"/>
      <c r="R57" s="208"/>
    </row>
    <row r="58" spans="1:18" x14ac:dyDescent="0.25">
      <c r="A58" s="473">
        <f>A53+1</f>
        <v>24</v>
      </c>
      <c r="B58" s="20"/>
      <c r="C58" s="20"/>
      <c r="E58" s="477" t="s">
        <v>1333</v>
      </c>
      <c r="F58" s="924">
        <v>0</v>
      </c>
      <c r="G58" s="213" t="str">
        <f>"Line "&amp;A45&amp;""</f>
        <v>Line 19</v>
      </c>
      <c r="H58" s="202"/>
      <c r="I58" s="202"/>
      <c r="J58" s="202"/>
      <c r="K58" s="202"/>
      <c r="L58" s="202"/>
      <c r="M58" s="202"/>
      <c r="O58" s="35"/>
      <c r="P58" s="435"/>
      <c r="Q58" s="208"/>
      <c r="R58" s="208"/>
    </row>
    <row r="59" spans="1:18" x14ac:dyDescent="0.25">
      <c r="A59" s="473">
        <f>A58+1</f>
        <v>25</v>
      </c>
      <c r="B59" s="20"/>
      <c r="C59" s="20"/>
      <c r="E59" s="489" t="s">
        <v>242</v>
      </c>
      <c r="F59" s="927" t="s">
        <v>2193</v>
      </c>
      <c r="G59" s="430" t="str">
        <f>"27-Allocators, Line "&amp;'27-Allocators'!A15&amp;""</f>
        <v>27-Allocators, Line 9</v>
      </c>
      <c r="H59" s="202"/>
      <c r="I59" s="202"/>
      <c r="J59" s="202"/>
      <c r="K59" s="202"/>
      <c r="L59" s="202"/>
      <c r="M59" s="202"/>
      <c r="O59" s="35"/>
      <c r="P59" s="435"/>
      <c r="Q59" s="208"/>
      <c r="R59" s="208"/>
    </row>
    <row r="60" spans="1:18" x14ac:dyDescent="0.25">
      <c r="A60" s="473">
        <f>A59+1</f>
        <v>26</v>
      </c>
      <c r="B60" s="20"/>
      <c r="C60" s="20"/>
      <c r="E60" s="489" t="s">
        <v>1334</v>
      </c>
      <c r="F60" s="924">
        <v>0</v>
      </c>
      <c r="G60" s="213" t="str">
        <f>"Line "&amp;A58&amp;" * Line "&amp;A59&amp;""</f>
        <v>Line 24 * Line 25</v>
      </c>
      <c r="H60" s="202"/>
      <c r="I60" s="202"/>
      <c r="J60" s="202"/>
      <c r="K60" s="202"/>
      <c r="L60" s="202"/>
      <c r="M60" s="202"/>
      <c r="Q60" s="208"/>
      <c r="R60" s="208"/>
    </row>
    <row r="61" spans="1:18" x14ac:dyDescent="0.25">
      <c r="B61" s="202"/>
      <c r="C61" s="202"/>
      <c r="D61" s="202"/>
      <c r="E61" s="202"/>
      <c r="F61" s="202"/>
      <c r="G61" s="202"/>
      <c r="H61" s="202"/>
      <c r="I61" s="202"/>
      <c r="J61" s="202"/>
      <c r="K61" s="202"/>
      <c r="L61" s="202"/>
      <c r="M61" s="202"/>
      <c r="Q61" s="208"/>
      <c r="R61" s="208"/>
    </row>
    <row r="62" spans="1:18" x14ac:dyDescent="0.25">
      <c r="Q62" s="208"/>
      <c r="R62" s="208"/>
    </row>
    <row r="63" spans="1:18" x14ac:dyDescent="0.25">
      <c r="B63" s="1" t="s">
        <v>1545</v>
      </c>
      <c r="Q63" s="208"/>
      <c r="R63" s="208"/>
    </row>
    <row r="64" spans="1:18" x14ac:dyDescent="0.25">
      <c r="Q64" s="208"/>
      <c r="R64" s="208"/>
    </row>
    <row r="65" spans="1:14" x14ac:dyDescent="0.25">
      <c r="C65" s="1" t="s">
        <v>2466</v>
      </c>
      <c r="D65" s="443"/>
      <c r="E65" s="443"/>
      <c r="F65" s="443"/>
      <c r="G65" s="443"/>
      <c r="H65" s="443"/>
      <c r="I65" s="443"/>
      <c r="J65" s="443"/>
      <c r="K65" s="443"/>
      <c r="L65" s="443"/>
    </row>
    <row r="66" spans="1:14" x14ac:dyDescent="0.25">
      <c r="A66" s="443"/>
      <c r="C66" s="443"/>
      <c r="D66" s="443"/>
      <c r="E66" s="443"/>
      <c r="F66" s="443"/>
      <c r="G66" s="443"/>
      <c r="H66" s="443"/>
      <c r="I66" s="443"/>
      <c r="J66" s="443"/>
      <c r="K66" s="443"/>
      <c r="L66" s="443"/>
    </row>
    <row r="67" spans="1:14" x14ac:dyDescent="0.25">
      <c r="A67" s="364"/>
      <c r="C67" s="76" t="s">
        <v>363</v>
      </c>
      <c r="D67" s="76" t="s">
        <v>347</v>
      </c>
      <c r="E67" s="76" t="s">
        <v>348</v>
      </c>
      <c r="F67" s="76" t="s">
        <v>349</v>
      </c>
      <c r="G67" s="76" t="s">
        <v>350</v>
      </c>
      <c r="H67" s="76" t="s">
        <v>351</v>
      </c>
      <c r="I67" s="76" t="s">
        <v>352</v>
      </c>
      <c r="J67" s="76" t="s">
        <v>541</v>
      </c>
      <c r="K67" s="76" t="s">
        <v>955</v>
      </c>
      <c r="L67" s="76" t="s">
        <v>967</v>
      </c>
      <c r="M67" s="76" t="s">
        <v>970</v>
      </c>
      <c r="N67" s="76" t="s">
        <v>988</v>
      </c>
    </row>
    <row r="68" spans="1:14" x14ac:dyDescent="0.25">
      <c r="A68" s="202"/>
      <c r="C68" s="215"/>
      <c r="D68" s="202"/>
      <c r="E68" s="202"/>
      <c r="F68" s="202"/>
      <c r="G68" s="202"/>
      <c r="H68" s="202"/>
      <c r="I68" s="202"/>
      <c r="J68" s="202"/>
      <c r="K68" s="202"/>
      <c r="L68" s="202"/>
      <c r="N68" s="215" t="s">
        <v>1231</v>
      </c>
    </row>
    <row r="69" spans="1:14" x14ac:dyDescent="0.25">
      <c r="A69" s="44"/>
      <c r="C69" s="104" t="s">
        <v>1772</v>
      </c>
      <c r="D69" s="76">
        <v>350.1</v>
      </c>
      <c r="E69" s="76">
        <v>350.2</v>
      </c>
      <c r="F69" s="76">
        <v>352</v>
      </c>
      <c r="G69" s="76">
        <v>353</v>
      </c>
      <c r="H69" s="76">
        <v>354</v>
      </c>
      <c r="I69" s="76">
        <v>355</v>
      </c>
      <c r="J69" s="76">
        <v>356</v>
      </c>
      <c r="K69" s="76">
        <v>357</v>
      </c>
      <c r="L69" s="76">
        <v>358</v>
      </c>
      <c r="M69" s="76">
        <v>359</v>
      </c>
      <c r="N69" s="3" t="s">
        <v>197</v>
      </c>
    </row>
    <row r="70" spans="1:14" x14ac:dyDescent="0.25">
      <c r="A70" s="473">
        <f>A60+1</f>
        <v>27</v>
      </c>
      <c r="C70" s="934" t="s">
        <v>1388</v>
      </c>
      <c r="D70" s="924">
        <v>0</v>
      </c>
      <c r="E70" s="924">
        <v>0</v>
      </c>
      <c r="F70" s="924">
        <v>0</v>
      </c>
      <c r="G70" s="924">
        <v>0</v>
      </c>
      <c r="H70" s="924">
        <v>0</v>
      </c>
      <c r="I70" s="924">
        <v>0</v>
      </c>
      <c r="J70" s="924">
        <v>0</v>
      </c>
      <c r="K70" s="924">
        <v>0</v>
      </c>
      <c r="L70" s="924">
        <v>0</v>
      </c>
      <c r="M70" s="924">
        <v>0</v>
      </c>
      <c r="N70" s="924">
        <v>0</v>
      </c>
    </row>
    <row r="71" spans="1:14" x14ac:dyDescent="0.25">
      <c r="A71" s="473">
        <f t="shared" ref="A71:A82" si="1">A70+1</f>
        <v>28</v>
      </c>
      <c r="C71" s="934" t="s">
        <v>1388</v>
      </c>
      <c r="D71" s="924">
        <v>0</v>
      </c>
      <c r="E71" s="924">
        <v>0</v>
      </c>
      <c r="F71" s="924">
        <v>0</v>
      </c>
      <c r="G71" s="924">
        <v>0</v>
      </c>
      <c r="H71" s="924">
        <v>0</v>
      </c>
      <c r="I71" s="924">
        <v>0</v>
      </c>
      <c r="J71" s="924">
        <v>0</v>
      </c>
      <c r="K71" s="924">
        <v>0</v>
      </c>
      <c r="L71" s="924">
        <v>0</v>
      </c>
      <c r="M71" s="924">
        <v>0</v>
      </c>
      <c r="N71" s="924">
        <v>0</v>
      </c>
    </row>
    <row r="72" spans="1:14" x14ac:dyDescent="0.25">
      <c r="A72" s="473">
        <f t="shared" si="1"/>
        <v>29</v>
      </c>
      <c r="C72" s="934" t="s">
        <v>1388</v>
      </c>
      <c r="D72" s="924">
        <v>0</v>
      </c>
      <c r="E72" s="924">
        <v>0</v>
      </c>
      <c r="F72" s="924">
        <v>0</v>
      </c>
      <c r="G72" s="924">
        <v>0</v>
      </c>
      <c r="H72" s="924">
        <v>0</v>
      </c>
      <c r="I72" s="924">
        <v>0</v>
      </c>
      <c r="J72" s="924">
        <v>0</v>
      </c>
      <c r="K72" s="924">
        <v>0</v>
      </c>
      <c r="L72" s="924">
        <v>0</v>
      </c>
      <c r="M72" s="924">
        <v>0</v>
      </c>
      <c r="N72" s="924">
        <v>0</v>
      </c>
    </row>
    <row r="73" spans="1:14" x14ac:dyDescent="0.25">
      <c r="A73" s="473">
        <f t="shared" si="1"/>
        <v>30</v>
      </c>
      <c r="C73" s="934" t="s">
        <v>1388</v>
      </c>
      <c r="D73" s="924">
        <v>0</v>
      </c>
      <c r="E73" s="924">
        <v>0</v>
      </c>
      <c r="F73" s="924">
        <v>0</v>
      </c>
      <c r="G73" s="924">
        <v>0</v>
      </c>
      <c r="H73" s="924">
        <v>0</v>
      </c>
      <c r="I73" s="924">
        <v>0</v>
      </c>
      <c r="J73" s="924">
        <v>0</v>
      </c>
      <c r="K73" s="924">
        <v>0</v>
      </c>
      <c r="L73" s="924">
        <v>0</v>
      </c>
      <c r="M73" s="924">
        <v>0</v>
      </c>
      <c r="N73" s="924">
        <v>0</v>
      </c>
    </row>
    <row r="74" spans="1:14" x14ac:dyDescent="0.25">
      <c r="A74" s="473">
        <f t="shared" si="1"/>
        <v>31</v>
      </c>
      <c r="C74" s="934" t="s">
        <v>1388</v>
      </c>
      <c r="D74" s="924">
        <v>0</v>
      </c>
      <c r="E74" s="924">
        <v>0</v>
      </c>
      <c r="F74" s="924">
        <v>0</v>
      </c>
      <c r="G74" s="924">
        <v>0</v>
      </c>
      <c r="H74" s="924">
        <v>0</v>
      </c>
      <c r="I74" s="924">
        <v>0</v>
      </c>
      <c r="J74" s="924">
        <v>0</v>
      </c>
      <c r="K74" s="924">
        <v>0</v>
      </c>
      <c r="L74" s="924">
        <v>0</v>
      </c>
      <c r="M74" s="924">
        <v>0</v>
      </c>
      <c r="N74" s="924">
        <v>0</v>
      </c>
    </row>
    <row r="75" spans="1:14" x14ac:dyDescent="0.25">
      <c r="A75" s="473">
        <f t="shared" si="1"/>
        <v>32</v>
      </c>
      <c r="C75" s="934" t="s">
        <v>1388</v>
      </c>
      <c r="D75" s="924">
        <v>0</v>
      </c>
      <c r="E75" s="924">
        <v>0</v>
      </c>
      <c r="F75" s="924">
        <v>0</v>
      </c>
      <c r="G75" s="924">
        <v>0</v>
      </c>
      <c r="H75" s="924">
        <v>0</v>
      </c>
      <c r="I75" s="924">
        <v>0</v>
      </c>
      <c r="J75" s="924">
        <v>0</v>
      </c>
      <c r="K75" s="924">
        <v>0</v>
      </c>
      <c r="L75" s="924">
        <v>0</v>
      </c>
      <c r="M75" s="924">
        <v>0</v>
      </c>
      <c r="N75" s="924">
        <v>0</v>
      </c>
    </row>
    <row r="76" spans="1:14" x14ac:dyDescent="0.25">
      <c r="A76" s="473">
        <f t="shared" si="1"/>
        <v>33</v>
      </c>
      <c r="C76" s="934" t="s">
        <v>1388</v>
      </c>
      <c r="D76" s="924">
        <v>0</v>
      </c>
      <c r="E76" s="924">
        <v>0</v>
      </c>
      <c r="F76" s="924">
        <v>0</v>
      </c>
      <c r="G76" s="924">
        <v>0</v>
      </c>
      <c r="H76" s="924">
        <v>0</v>
      </c>
      <c r="I76" s="924">
        <v>0</v>
      </c>
      <c r="J76" s="924">
        <v>0</v>
      </c>
      <c r="K76" s="924">
        <v>0</v>
      </c>
      <c r="L76" s="924">
        <v>0</v>
      </c>
      <c r="M76" s="924">
        <v>0</v>
      </c>
      <c r="N76" s="924">
        <v>0</v>
      </c>
    </row>
    <row r="77" spans="1:14" x14ac:dyDescent="0.25">
      <c r="A77" s="473">
        <f t="shared" si="1"/>
        <v>34</v>
      </c>
      <c r="C77" s="934" t="s">
        <v>1388</v>
      </c>
      <c r="D77" s="924">
        <v>0</v>
      </c>
      <c r="E77" s="924">
        <v>0</v>
      </c>
      <c r="F77" s="924">
        <v>0</v>
      </c>
      <c r="G77" s="924">
        <v>0</v>
      </c>
      <c r="H77" s="924">
        <v>0</v>
      </c>
      <c r="I77" s="924">
        <v>0</v>
      </c>
      <c r="J77" s="924">
        <v>0</v>
      </c>
      <c r="K77" s="924">
        <v>0</v>
      </c>
      <c r="L77" s="924">
        <v>0</v>
      </c>
      <c r="M77" s="924">
        <v>0</v>
      </c>
      <c r="N77" s="924">
        <v>0</v>
      </c>
    </row>
    <row r="78" spans="1:14" x14ac:dyDescent="0.25">
      <c r="A78" s="473">
        <f t="shared" si="1"/>
        <v>35</v>
      </c>
      <c r="C78" s="934" t="s">
        <v>1388</v>
      </c>
      <c r="D78" s="924">
        <v>0</v>
      </c>
      <c r="E78" s="924">
        <v>0</v>
      </c>
      <c r="F78" s="924">
        <v>0</v>
      </c>
      <c r="G78" s="924">
        <v>0</v>
      </c>
      <c r="H78" s="924">
        <v>0</v>
      </c>
      <c r="I78" s="924">
        <v>0</v>
      </c>
      <c r="J78" s="924">
        <v>0</v>
      </c>
      <c r="K78" s="924">
        <v>0</v>
      </c>
      <c r="L78" s="924">
        <v>0</v>
      </c>
      <c r="M78" s="924">
        <v>0</v>
      </c>
      <c r="N78" s="924">
        <v>0</v>
      </c>
    </row>
    <row r="79" spans="1:14" x14ac:dyDescent="0.25">
      <c r="A79" s="473">
        <f t="shared" si="1"/>
        <v>36</v>
      </c>
      <c r="C79" s="934" t="s">
        <v>1388</v>
      </c>
      <c r="D79" s="924">
        <v>0</v>
      </c>
      <c r="E79" s="924">
        <v>0</v>
      </c>
      <c r="F79" s="924">
        <v>0</v>
      </c>
      <c r="G79" s="924">
        <v>0</v>
      </c>
      <c r="H79" s="924">
        <v>0</v>
      </c>
      <c r="I79" s="924">
        <v>0</v>
      </c>
      <c r="J79" s="924">
        <v>0</v>
      </c>
      <c r="K79" s="924">
        <v>0</v>
      </c>
      <c r="L79" s="924">
        <v>0</v>
      </c>
      <c r="M79" s="924">
        <v>0</v>
      </c>
      <c r="N79" s="924">
        <v>0</v>
      </c>
    </row>
    <row r="80" spans="1:14" x14ac:dyDescent="0.25">
      <c r="A80" s="473">
        <f t="shared" si="1"/>
        <v>37</v>
      </c>
      <c r="C80" s="934" t="s">
        <v>1388</v>
      </c>
      <c r="D80" s="924">
        <v>0</v>
      </c>
      <c r="E80" s="924">
        <v>0</v>
      </c>
      <c r="F80" s="924">
        <v>0</v>
      </c>
      <c r="G80" s="924">
        <v>0</v>
      </c>
      <c r="H80" s="924">
        <v>0</v>
      </c>
      <c r="I80" s="924">
        <v>0</v>
      </c>
      <c r="J80" s="924">
        <v>0</v>
      </c>
      <c r="K80" s="924">
        <v>0</v>
      </c>
      <c r="L80" s="924">
        <v>0</v>
      </c>
      <c r="M80" s="924">
        <v>0</v>
      </c>
      <c r="N80" s="924">
        <v>0</v>
      </c>
    </row>
    <row r="81" spans="1:14" ht="15" x14ac:dyDescent="0.4">
      <c r="A81" s="473">
        <f t="shared" si="1"/>
        <v>38</v>
      </c>
      <c r="C81" s="934" t="s">
        <v>1388</v>
      </c>
      <c r="D81" s="925">
        <v>0</v>
      </c>
      <c r="E81" s="925">
        <v>0</v>
      </c>
      <c r="F81" s="925">
        <v>0</v>
      </c>
      <c r="G81" s="925">
        <v>0</v>
      </c>
      <c r="H81" s="925">
        <v>0</v>
      </c>
      <c r="I81" s="925">
        <v>0</v>
      </c>
      <c r="J81" s="925">
        <v>0</v>
      </c>
      <c r="K81" s="925">
        <v>0</v>
      </c>
      <c r="L81" s="925">
        <v>0</v>
      </c>
      <c r="M81" s="925">
        <v>0</v>
      </c>
      <c r="N81" s="925">
        <v>0</v>
      </c>
    </row>
    <row r="82" spans="1:14" x14ac:dyDescent="0.25">
      <c r="A82" s="473">
        <f t="shared" si="1"/>
        <v>39</v>
      </c>
      <c r="C82" s="476" t="s">
        <v>4</v>
      </c>
      <c r="D82" s="924">
        <v>0</v>
      </c>
      <c r="E82" s="924">
        <v>0</v>
      </c>
      <c r="F82" s="924">
        <v>0</v>
      </c>
      <c r="G82" s="924">
        <v>0</v>
      </c>
      <c r="H82" s="924">
        <v>0</v>
      </c>
      <c r="I82" s="924">
        <v>0</v>
      </c>
      <c r="J82" s="924">
        <v>0</v>
      </c>
      <c r="K82" s="924">
        <v>0</v>
      </c>
      <c r="L82" s="924">
        <v>0</v>
      </c>
      <c r="M82" s="924">
        <v>0</v>
      </c>
      <c r="N82" s="924">
        <v>0</v>
      </c>
    </row>
    <row r="84" spans="1:14" x14ac:dyDescent="0.25">
      <c r="C84" s="1" t="s">
        <v>2467</v>
      </c>
      <c r="D84" s="443"/>
      <c r="E84" s="443"/>
      <c r="F84" s="443"/>
      <c r="G84" s="443"/>
      <c r="H84" s="443"/>
      <c r="I84" s="443"/>
      <c r="J84" s="443"/>
      <c r="K84" s="443"/>
      <c r="L84" s="443"/>
    </row>
    <row r="85" spans="1:14" x14ac:dyDescent="0.25">
      <c r="C85" s="443"/>
      <c r="D85" s="443"/>
      <c r="E85" s="443"/>
      <c r="F85" s="443"/>
      <c r="G85" s="443"/>
      <c r="H85" s="443"/>
      <c r="I85" s="443"/>
      <c r="J85" s="443"/>
      <c r="K85" s="443"/>
      <c r="L85" s="443"/>
    </row>
    <row r="86" spans="1:14" x14ac:dyDescent="0.25">
      <c r="C86" s="76" t="s">
        <v>363</v>
      </c>
      <c r="D86" s="76" t="s">
        <v>347</v>
      </c>
      <c r="E86" s="76" t="s">
        <v>348</v>
      </c>
      <c r="F86" s="76" t="s">
        <v>349</v>
      </c>
      <c r="G86" s="76" t="s">
        <v>350</v>
      </c>
      <c r="H86" s="76" t="s">
        <v>351</v>
      </c>
      <c r="I86" s="76" t="s">
        <v>352</v>
      </c>
      <c r="J86" s="76" t="s">
        <v>541</v>
      </c>
      <c r="K86" s="76" t="s">
        <v>955</v>
      </c>
      <c r="L86" s="76" t="s">
        <v>967</v>
      </c>
      <c r="M86" s="76" t="s">
        <v>970</v>
      </c>
      <c r="N86" s="76"/>
    </row>
    <row r="87" spans="1:14" x14ac:dyDescent="0.25">
      <c r="C87" s="215"/>
      <c r="D87" s="202"/>
      <c r="E87" s="202"/>
      <c r="F87" s="202"/>
      <c r="G87" s="202"/>
      <c r="H87" s="202"/>
      <c r="I87" s="202"/>
      <c r="J87" s="202"/>
      <c r="K87" s="202"/>
      <c r="L87" s="202"/>
      <c r="N87" s="215"/>
    </row>
    <row r="88" spans="1:14" x14ac:dyDescent="0.25">
      <c r="C88" s="104" t="s">
        <v>1772</v>
      </c>
      <c r="D88" s="76">
        <v>350.1</v>
      </c>
      <c r="E88" s="76">
        <v>350.2</v>
      </c>
      <c r="F88" s="76">
        <v>352</v>
      </c>
      <c r="G88" s="76">
        <v>353</v>
      </c>
      <c r="H88" s="76">
        <v>354</v>
      </c>
      <c r="I88" s="76">
        <v>355</v>
      </c>
      <c r="J88" s="76">
        <v>356</v>
      </c>
      <c r="K88" s="76">
        <v>357</v>
      </c>
      <c r="L88" s="76">
        <v>358</v>
      </c>
      <c r="M88" s="76">
        <v>359</v>
      </c>
      <c r="N88" s="3"/>
    </row>
    <row r="89" spans="1:14" x14ac:dyDescent="0.25">
      <c r="A89" s="473">
        <f>A82+1</f>
        <v>40</v>
      </c>
      <c r="C89" s="934" t="s">
        <v>1388</v>
      </c>
      <c r="D89" s="924" t="s">
        <v>2468</v>
      </c>
      <c r="E89" s="924" t="s">
        <v>2468</v>
      </c>
      <c r="F89" s="924" t="s">
        <v>2468</v>
      </c>
      <c r="G89" s="924" t="s">
        <v>2468</v>
      </c>
      <c r="H89" s="924" t="s">
        <v>2468</v>
      </c>
      <c r="I89" s="924" t="s">
        <v>2468</v>
      </c>
      <c r="J89" s="924" t="s">
        <v>2468</v>
      </c>
      <c r="K89" s="924" t="s">
        <v>2468</v>
      </c>
      <c r="L89" s="924" t="s">
        <v>2468</v>
      </c>
      <c r="M89" s="924" t="s">
        <v>2468</v>
      </c>
      <c r="N89" s="924"/>
    </row>
    <row r="90" spans="1:14" x14ac:dyDescent="0.25">
      <c r="A90" s="473">
        <f t="shared" ref="A90:A100" si="2">A89+1</f>
        <v>41</v>
      </c>
      <c r="C90" s="934" t="s">
        <v>1388</v>
      </c>
      <c r="D90" s="924" t="s">
        <v>2468</v>
      </c>
      <c r="E90" s="924" t="s">
        <v>2468</v>
      </c>
      <c r="F90" s="924" t="s">
        <v>2468</v>
      </c>
      <c r="G90" s="924" t="s">
        <v>2468</v>
      </c>
      <c r="H90" s="924" t="s">
        <v>2468</v>
      </c>
      <c r="I90" s="924" t="s">
        <v>2468</v>
      </c>
      <c r="J90" s="924" t="s">
        <v>2468</v>
      </c>
      <c r="K90" s="924" t="s">
        <v>2468</v>
      </c>
      <c r="L90" s="924" t="s">
        <v>2468</v>
      </c>
      <c r="M90" s="924" t="s">
        <v>2468</v>
      </c>
      <c r="N90" s="924"/>
    </row>
    <row r="91" spans="1:14" x14ac:dyDescent="0.25">
      <c r="A91" s="473">
        <f t="shared" si="2"/>
        <v>42</v>
      </c>
      <c r="C91" s="934" t="s">
        <v>1388</v>
      </c>
      <c r="D91" s="924" t="s">
        <v>2468</v>
      </c>
      <c r="E91" s="924" t="s">
        <v>2468</v>
      </c>
      <c r="F91" s="924" t="s">
        <v>2468</v>
      </c>
      <c r="G91" s="924" t="s">
        <v>2468</v>
      </c>
      <c r="H91" s="924" t="s">
        <v>2468</v>
      </c>
      <c r="I91" s="924" t="s">
        <v>2468</v>
      </c>
      <c r="J91" s="924" t="s">
        <v>2468</v>
      </c>
      <c r="K91" s="924" t="s">
        <v>2468</v>
      </c>
      <c r="L91" s="924" t="s">
        <v>2468</v>
      </c>
      <c r="M91" s="924" t="s">
        <v>2468</v>
      </c>
      <c r="N91" s="924"/>
    </row>
    <row r="92" spans="1:14" x14ac:dyDescent="0.25">
      <c r="A92" s="473">
        <f t="shared" si="2"/>
        <v>43</v>
      </c>
      <c r="C92" s="934" t="s">
        <v>1388</v>
      </c>
      <c r="D92" s="924" t="s">
        <v>2468</v>
      </c>
      <c r="E92" s="924" t="s">
        <v>2468</v>
      </c>
      <c r="F92" s="924" t="s">
        <v>2468</v>
      </c>
      <c r="G92" s="924" t="s">
        <v>2468</v>
      </c>
      <c r="H92" s="924" t="s">
        <v>2468</v>
      </c>
      <c r="I92" s="924" t="s">
        <v>2468</v>
      </c>
      <c r="J92" s="924" t="s">
        <v>2468</v>
      </c>
      <c r="K92" s="924" t="s">
        <v>2468</v>
      </c>
      <c r="L92" s="924" t="s">
        <v>2468</v>
      </c>
      <c r="M92" s="924" t="s">
        <v>2468</v>
      </c>
      <c r="N92" s="924"/>
    </row>
    <row r="93" spans="1:14" x14ac:dyDescent="0.25">
      <c r="A93" s="473">
        <f t="shared" si="2"/>
        <v>44</v>
      </c>
      <c r="C93" s="934" t="s">
        <v>1388</v>
      </c>
      <c r="D93" s="924" t="s">
        <v>2468</v>
      </c>
      <c r="E93" s="924" t="s">
        <v>2468</v>
      </c>
      <c r="F93" s="924" t="s">
        <v>2468</v>
      </c>
      <c r="G93" s="924" t="s">
        <v>2468</v>
      </c>
      <c r="H93" s="924" t="s">
        <v>2468</v>
      </c>
      <c r="I93" s="924" t="s">
        <v>2468</v>
      </c>
      <c r="J93" s="924" t="s">
        <v>2468</v>
      </c>
      <c r="K93" s="924" t="s">
        <v>2468</v>
      </c>
      <c r="L93" s="924" t="s">
        <v>2468</v>
      </c>
      <c r="M93" s="924" t="s">
        <v>2468</v>
      </c>
      <c r="N93" s="924"/>
    </row>
    <row r="94" spans="1:14" x14ac:dyDescent="0.25">
      <c r="A94" s="473">
        <f t="shared" si="2"/>
        <v>45</v>
      </c>
      <c r="C94" s="934" t="s">
        <v>1388</v>
      </c>
      <c r="D94" s="924" t="s">
        <v>2468</v>
      </c>
      <c r="E94" s="924" t="s">
        <v>2468</v>
      </c>
      <c r="F94" s="924" t="s">
        <v>2468</v>
      </c>
      <c r="G94" s="924" t="s">
        <v>2468</v>
      </c>
      <c r="H94" s="924" t="s">
        <v>2468</v>
      </c>
      <c r="I94" s="924" t="s">
        <v>2468</v>
      </c>
      <c r="J94" s="924" t="s">
        <v>2468</v>
      </c>
      <c r="K94" s="924" t="s">
        <v>2468</v>
      </c>
      <c r="L94" s="924" t="s">
        <v>2468</v>
      </c>
      <c r="M94" s="924" t="s">
        <v>2468</v>
      </c>
      <c r="N94" s="924"/>
    </row>
    <row r="95" spans="1:14" x14ac:dyDescent="0.25">
      <c r="A95" s="473">
        <f t="shared" si="2"/>
        <v>46</v>
      </c>
      <c r="C95" s="934" t="s">
        <v>1388</v>
      </c>
      <c r="D95" s="924" t="s">
        <v>2468</v>
      </c>
      <c r="E95" s="924" t="s">
        <v>2468</v>
      </c>
      <c r="F95" s="924" t="s">
        <v>2468</v>
      </c>
      <c r="G95" s="924" t="s">
        <v>2468</v>
      </c>
      <c r="H95" s="924" t="s">
        <v>2468</v>
      </c>
      <c r="I95" s="924" t="s">
        <v>2468</v>
      </c>
      <c r="J95" s="924" t="s">
        <v>2468</v>
      </c>
      <c r="K95" s="924" t="s">
        <v>2468</v>
      </c>
      <c r="L95" s="924" t="s">
        <v>2468</v>
      </c>
      <c r="M95" s="924" t="s">
        <v>2468</v>
      </c>
      <c r="N95" s="924"/>
    </row>
    <row r="96" spans="1:14" x14ac:dyDescent="0.25">
      <c r="A96" s="473">
        <f t="shared" si="2"/>
        <v>47</v>
      </c>
      <c r="C96" s="934" t="s">
        <v>1388</v>
      </c>
      <c r="D96" s="924" t="s">
        <v>2468</v>
      </c>
      <c r="E96" s="924" t="s">
        <v>2468</v>
      </c>
      <c r="F96" s="924" t="s">
        <v>2468</v>
      </c>
      <c r="G96" s="924" t="s">
        <v>2468</v>
      </c>
      <c r="H96" s="924" t="s">
        <v>2468</v>
      </c>
      <c r="I96" s="924" t="s">
        <v>2468</v>
      </c>
      <c r="J96" s="924" t="s">
        <v>2468</v>
      </c>
      <c r="K96" s="924" t="s">
        <v>2468</v>
      </c>
      <c r="L96" s="924" t="s">
        <v>2468</v>
      </c>
      <c r="M96" s="924" t="s">
        <v>2468</v>
      </c>
      <c r="N96" s="924"/>
    </row>
    <row r="97" spans="1:14" x14ac:dyDescent="0.25">
      <c r="A97" s="473">
        <f t="shared" si="2"/>
        <v>48</v>
      </c>
      <c r="C97" s="934" t="s">
        <v>1388</v>
      </c>
      <c r="D97" s="924" t="s">
        <v>2468</v>
      </c>
      <c r="E97" s="924" t="s">
        <v>2468</v>
      </c>
      <c r="F97" s="924" t="s">
        <v>2468</v>
      </c>
      <c r="G97" s="924" t="s">
        <v>2468</v>
      </c>
      <c r="H97" s="924" t="s">
        <v>2468</v>
      </c>
      <c r="I97" s="924" t="s">
        <v>2468</v>
      </c>
      <c r="J97" s="924" t="s">
        <v>2468</v>
      </c>
      <c r="K97" s="924" t="s">
        <v>2468</v>
      </c>
      <c r="L97" s="924" t="s">
        <v>2468</v>
      </c>
      <c r="M97" s="924" t="s">
        <v>2468</v>
      </c>
      <c r="N97" s="924"/>
    </row>
    <row r="98" spans="1:14" x14ac:dyDescent="0.25">
      <c r="A98" s="473">
        <f t="shared" si="2"/>
        <v>49</v>
      </c>
      <c r="C98" s="934" t="s">
        <v>1388</v>
      </c>
      <c r="D98" s="924" t="s">
        <v>2468</v>
      </c>
      <c r="E98" s="924" t="s">
        <v>2468</v>
      </c>
      <c r="F98" s="924" t="s">
        <v>2468</v>
      </c>
      <c r="G98" s="924" t="s">
        <v>2468</v>
      </c>
      <c r="H98" s="924" t="s">
        <v>2468</v>
      </c>
      <c r="I98" s="924" t="s">
        <v>2468</v>
      </c>
      <c r="J98" s="924" t="s">
        <v>2468</v>
      </c>
      <c r="K98" s="924" t="s">
        <v>2468</v>
      </c>
      <c r="L98" s="924" t="s">
        <v>2468</v>
      </c>
      <c r="M98" s="924" t="s">
        <v>2468</v>
      </c>
      <c r="N98" s="924"/>
    </row>
    <row r="99" spans="1:14" x14ac:dyDescent="0.25">
      <c r="A99" s="473">
        <f t="shared" si="2"/>
        <v>50</v>
      </c>
      <c r="C99" s="934" t="s">
        <v>1388</v>
      </c>
      <c r="D99" s="924" t="s">
        <v>2468</v>
      </c>
      <c r="E99" s="924" t="s">
        <v>2468</v>
      </c>
      <c r="F99" s="924" t="s">
        <v>2468</v>
      </c>
      <c r="G99" s="924" t="s">
        <v>2468</v>
      </c>
      <c r="H99" s="924" t="s">
        <v>2468</v>
      </c>
      <c r="I99" s="924" t="s">
        <v>2468</v>
      </c>
      <c r="J99" s="924" t="s">
        <v>2468</v>
      </c>
      <c r="K99" s="924" t="s">
        <v>2468</v>
      </c>
      <c r="L99" s="924" t="s">
        <v>2468</v>
      </c>
      <c r="M99" s="924" t="s">
        <v>2468</v>
      </c>
      <c r="N99" s="924"/>
    </row>
    <row r="100" spans="1:14" ht="15" x14ac:dyDescent="0.4">
      <c r="A100" s="473">
        <f t="shared" si="2"/>
        <v>51</v>
      </c>
      <c r="C100" s="934" t="s">
        <v>1388</v>
      </c>
      <c r="D100" s="924" t="s">
        <v>2468</v>
      </c>
      <c r="E100" s="924" t="s">
        <v>2468</v>
      </c>
      <c r="F100" s="924" t="s">
        <v>2468</v>
      </c>
      <c r="G100" s="924" t="s">
        <v>2468</v>
      </c>
      <c r="H100" s="924" t="s">
        <v>2468</v>
      </c>
      <c r="I100" s="924" t="s">
        <v>2468</v>
      </c>
      <c r="J100" s="924" t="s">
        <v>2468</v>
      </c>
      <c r="K100" s="924" t="s">
        <v>2468</v>
      </c>
      <c r="L100" s="924" t="s">
        <v>2468</v>
      </c>
      <c r="M100" s="924" t="s">
        <v>2468</v>
      </c>
      <c r="N100" s="925"/>
    </row>
    <row r="102" spans="1:14" x14ac:dyDescent="0.25">
      <c r="C102" s="1" t="s">
        <v>2469</v>
      </c>
    </row>
    <row r="104" spans="1:14" x14ac:dyDescent="0.25">
      <c r="C104" s="447" t="s">
        <v>2470</v>
      </c>
    </row>
    <row r="105" spans="1:14" x14ac:dyDescent="0.25">
      <c r="C105" s="15"/>
      <c r="D105" s="76">
        <v>350.1</v>
      </c>
      <c r="E105" s="76">
        <v>350.2</v>
      </c>
      <c r="F105" s="76">
        <v>352</v>
      </c>
      <c r="G105" s="76">
        <v>353</v>
      </c>
      <c r="H105" s="76">
        <v>354</v>
      </c>
      <c r="I105" s="76">
        <v>355</v>
      </c>
      <c r="J105" s="76">
        <v>356</v>
      </c>
      <c r="K105" s="76">
        <v>357</v>
      </c>
      <c r="L105" s="76">
        <v>358</v>
      </c>
      <c r="M105" s="76">
        <v>359</v>
      </c>
      <c r="N105" s="3" t="s">
        <v>197</v>
      </c>
    </row>
    <row r="106" spans="1:14" x14ac:dyDescent="0.25">
      <c r="A106" s="473">
        <f>A100+1</f>
        <v>52</v>
      </c>
      <c r="C106" s="15"/>
      <c r="D106" s="924">
        <v>0</v>
      </c>
      <c r="E106" s="924">
        <v>0</v>
      </c>
      <c r="F106" s="924">
        <v>0</v>
      </c>
      <c r="G106" s="924">
        <v>0</v>
      </c>
      <c r="H106" s="924">
        <v>0</v>
      </c>
      <c r="I106" s="924">
        <v>0</v>
      </c>
      <c r="J106" s="924">
        <v>0</v>
      </c>
      <c r="K106" s="924">
        <v>0</v>
      </c>
      <c r="L106" s="924">
        <v>0</v>
      </c>
      <c r="M106" s="924">
        <v>0</v>
      </c>
      <c r="N106" s="924">
        <v>0</v>
      </c>
    </row>
    <row r="107" spans="1:14" x14ac:dyDescent="0.25">
      <c r="C107" s="447" t="s">
        <v>2471</v>
      </c>
    </row>
    <row r="108" spans="1:14" x14ac:dyDescent="0.25">
      <c r="C108" s="15"/>
      <c r="D108" s="76">
        <v>350.1</v>
      </c>
      <c r="E108" s="76">
        <v>350.2</v>
      </c>
      <c r="F108" s="76">
        <v>352</v>
      </c>
      <c r="G108" s="76">
        <v>353</v>
      </c>
      <c r="H108" s="76">
        <v>354</v>
      </c>
      <c r="I108" s="76">
        <v>355</v>
      </c>
      <c r="J108" s="76">
        <v>356</v>
      </c>
      <c r="K108" s="76">
        <v>357</v>
      </c>
      <c r="L108" s="76">
        <v>358</v>
      </c>
      <c r="M108" s="76">
        <v>359</v>
      </c>
      <c r="N108" s="3" t="s">
        <v>197</v>
      </c>
    </row>
    <row r="109" spans="1:14" x14ac:dyDescent="0.25">
      <c r="A109" s="473">
        <f>A106+1</f>
        <v>53</v>
      </c>
      <c r="C109" s="15"/>
      <c r="D109" s="924">
        <v>0</v>
      </c>
      <c r="E109" s="924">
        <v>0</v>
      </c>
      <c r="F109" s="924">
        <v>0</v>
      </c>
      <c r="G109" s="924">
        <v>0</v>
      </c>
      <c r="H109" s="924">
        <v>0</v>
      </c>
      <c r="I109" s="924">
        <v>0</v>
      </c>
      <c r="J109" s="924">
        <v>0</v>
      </c>
      <c r="K109" s="924">
        <v>0</v>
      </c>
      <c r="L109" s="924">
        <v>0</v>
      </c>
      <c r="M109" s="924">
        <v>0</v>
      </c>
      <c r="N109" s="924">
        <v>0</v>
      </c>
    </row>
    <row r="110" spans="1:14" x14ac:dyDescent="0.25">
      <c r="C110" s="447" t="s">
        <v>2472</v>
      </c>
    </row>
    <row r="111" spans="1:14" x14ac:dyDescent="0.25">
      <c r="D111" s="76">
        <v>350.1</v>
      </c>
      <c r="E111" s="76">
        <v>350.2</v>
      </c>
      <c r="F111" s="76">
        <v>352</v>
      </c>
      <c r="G111" s="76">
        <v>353</v>
      </c>
      <c r="H111" s="76">
        <v>354</v>
      </c>
      <c r="I111" s="76">
        <v>355</v>
      </c>
      <c r="J111" s="76">
        <v>356</v>
      </c>
      <c r="K111" s="76">
        <v>357</v>
      </c>
      <c r="L111" s="76">
        <v>358</v>
      </c>
      <c r="M111" s="76">
        <v>359</v>
      </c>
      <c r="N111" s="3" t="s">
        <v>197</v>
      </c>
    </row>
    <row r="112" spans="1:14" x14ac:dyDescent="0.25">
      <c r="A112" s="473">
        <f>A109+1</f>
        <v>54</v>
      </c>
      <c r="D112" s="924">
        <v>0</v>
      </c>
      <c r="E112" s="924">
        <v>0</v>
      </c>
      <c r="F112" s="924">
        <v>0</v>
      </c>
      <c r="G112" s="924">
        <v>0</v>
      </c>
      <c r="H112" s="924">
        <v>0</v>
      </c>
      <c r="I112" s="924">
        <v>0</v>
      </c>
      <c r="J112" s="924">
        <v>0</v>
      </c>
      <c r="K112" s="924">
        <v>0</v>
      </c>
      <c r="L112" s="924">
        <v>0</v>
      </c>
      <c r="M112" s="924">
        <v>0</v>
      </c>
      <c r="N112" s="924">
        <v>0</v>
      </c>
    </row>
    <row r="114" spans="1:14" x14ac:dyDescent="0.25">
      <c r="C114" s="1" t="s">
        <v>2473</v>
      </c>
      <c r="D114" s="443"/>
      <c r="E114" s="443"/>
      <c r="F114" s="443"/>
      <c r="G114" s="443"/>
      <c r="H114" s="443"/>
      <c r="I114" s="443"/>
      <c r="J114" s="443"/>
      <c r="K114" s="443"/>
      <c r="L114" s="443"/>
    </row>
    <row r="115" spans="1:14" x14ac:dyDescent="0.25">
      <c r="C115" s="443"/>
      <c r="D115" s="443"/>
      <c r="E115" s="443"/>
      <c r="F115" s="443"/>
      <c r="G115" s="443"/>
      <c r="H115" s="443"/>
      <c r="I115" s="443"/>
      <c r="J115" s="443"/>
      <c r="K115" s="443"/>
      <c r="L115" s="443"/>
    </row>
    <row r="116" spans="1:14" x14ac:dyDescent="0.25">
      <c r="C116" s="76" t="s">
        <v>363</v>
      </c>
      <c r="D116" s="76" t="s">
        <v>347</v>
      </c>
      <c r="E116" s="76" t="s">
        <v>348</v>
      </c>
      <c r="F116" s="76" t="s">
        <v>349</v>
      </c>
      <c r="G116" s="76" t="s">
        <v>350</v>
      </c>
      <c r="H116" s="76" t="s">
        <v>351</v>
      </c>
      <c r="I116" s="76" t="s">
        <v>352</v>
      </c>
      <c r="J116" s="76" t="s">
        <v>541</v>
      </c>
      <c r="K116" s="76" t="s">
        <v>955</v>
      </c>
      <c r="L116" s="76" t="s">
        <v>967</v>
      </c>
      <c r="M116" s="76" t="s">
        <v>970</v>
      </c>
      <c r="N116" s="76" t="s">
        <v>988</v>
      </c>
    </row>
    <row r="117" spans="1:14" x14ac:dyDescent="0.25">
      <c r="C117" s="215"/>
      <c r="D117" s="202"/>
      <c r="E117" s="202"/>
      <c r="F117" s="202"/>
      <c r="G117" s="202"/>
      <c r="H117" s="202"/>
      <c r="I117" s="202"/>
      <c r="J117" s="202"/>
      <c r="K117" s="202"/>
      <c r="L117" s="202"/>
      <c r="N117" s="215" t="s">
        <v>1231</v>
      </c>
    </row>
    <row r="118" spans="1:14" x14ac:dyDescent="0.25">
      <c r="C118" s="104" t="s">
        <v>1772</v>
      </c>
      <c r="D118" s="76">
        <v>350.1</v>
      </c>
      <c r="E118" s="76">
        <v>350.2</v>
      </c>
      <c r="F118" s="76">
        <v>352</v>
      </c>
      <c r="G118" s="76">
        <v>353</v>
      </c>
      <c r="H118" s="76">
        <v>354</v>
      </c>
      <c r="I118" s="76">
        <v>355</v>
      </c>
      <c r="J118" s="76">
        <v>356</v>
      </c>
      <c r="K118" s="76">
        <v>357</v>
      </c>
      <c r="L118" s="76">
        <v>358</v>
      </c>
      <c r="M118" s="76">
        <v>359</v>
      </c>
      <c r="N118" s="3" t="s">
        <v>197</v>
      </c>
    </row>
    <row r="119" spans="1:14" x14ac:dyDescent="0.25">
      <c r="A119" s="473">
        <f>A112+1</f>
        <v>55</v>
      </c>
      <c r="C119" s="934" t="s">
        <v>1388</v>
      </c>
      <c r="D119" s="924">
        <v>0</v>
      </c>
      <c r="E119" s="924">
        <v>0</v>
      </c>
      <c r="F119" s="924">
        <v>0</v>
      </c>
      <c r="G119" s="924">
        <v>0</v>
      </c>
      <c r="H119" s="924">
        <v>0</v>
      </c>
      <c r="I119" s="924">
        <v>0</v>
      </c>
      <c r="J119" s="924">
        <v>0</v>
      </c>
      <c r="K119" s="924">
        <v>0</v>
      </c>
      <c r="L119" s="924">
        <v>0</v>
      </c>
      <c r="M119" s="924">
        <v>0</v>
      </c>
      <c r="N119" s="924">
        <v>0</v>
      </c>
    </row>
    <row r="120" spans="1:14" x14ac:dyDescent="0.25">
      <c r="A120" s="473">
        <f t="shared" ref="A120:A131" si="3">A119+1</f>
        <v>56</v>
      </c>
      <c r="C120" s="934" t="s">
        <v>1388</v>
      </c>
      <c r="D120" s="924">
        <v>0</v>
      </c>
      <c r="E120" s="924">
        <v>0</v>
      </c>
      <c r="F120" s="924">
        <v>0</v>
      </c>
      <c r="G120" s="924">
        <v>0</v>
      </c>
      <c r="H120" s="924">
        <v>0</v>
      </c>
      <c r="I120" s="924">
        <v>0</v>
      </c>
      <c r="J120" s="924">
        <v>0</v>
      </c>
      <c r="K120" s="924">
        <v>0</v>
      </c>
      <c r="L120" s="924">
        <v>0</v>
      </c>
      <c r="M120" s="924">
        <v>0</v>
      </c>
      <c r="N120" s="924">
        <v>0</v>
      </c>
    </row>
    <row r="121" spans="1:14" x14ac:dyDescent="0.25">
      <c r="A121" s="473">
        <f t="shared" si="3"/>
        <v>57</v>
      </c>
      <c r="C121" s="934" t="s">
        <v>1388</v>
      </c>
      <c r="D121" s="924">
        <v>0</v>
      </c>
      <c r="E121" s="924">
        <v>0</v>
      </c>
      <c r="F121" s="924">
        <v>0</v>
      </c>
      <c r="G121" s="924">
        <v>0</v>
      </c>
      <c r="H121" s="924">
        <v>0</v>
      </c>
      <c r="I121" s="924">
        <v>0</v>
      </c>
      <c r="J121" s="924">
        <v>0</v>
      </c>
      <c r="K121" s="924">
        <v>0</v>
      </c>
      <c r="L121" s="924">
        <v>0</v>
      </c>
      <c r="M121" s="924">
        <v>0</v>
      </c>
      <c r="N121" s="924">
        <v>0</v>
      </c>
    </row>
    <row r="122" spans="1:14" x14ac:dyDescent="0.25">
      <c r="A122" s="473">
        <f t="shared" si="3"/>
        <v>58</v>
      </c>
      <c r="C122" s="934" t="s">
        <v>1388</v>
      </c>
      <c r="D122" s="924">
        <v>0</v>
      </c>
      <c r="E122" s="924">
        <v>0</v>
      </c>
      <c r="F122" s="924">
        <v>0</v>
      </c>
      <c r="G122" s="924">
        <v>0</v>
      </c>
      <c r="H122" s="924">
        <v>0</v>
      </c>
      <c r="I122" s="924">
        <v>0</v>
      </c>
      <c r="J122" s="924">
        <v>0</v>
      </c>
      <c r="K122" s="924">
        <v>0</v>
      </c>
      <c r="L122" s="924">
        <v>0</v>
      </c>
      <c r="M122" s="924">
        <v>0</v>
      </c>
      <c r="N122" s="924">
        <v>0</v>
      </c>
    </row>
    <row r="123" spans="1:14" x14ac:dyDescent="0.25">
      <c r="A123" s="473">
        <f t="shared" si="3"/>
        <v>59</v>
      </c>
      <c r="C123" s="934" t="s">
        <v>1388</v>
      </c>
      <c r="D123" s="924">
        <v>0</v>
      </c>
      <c r="E123" s="924">
        <v>0</v>
      </c>
      <c r="F123" s="924">
        <v>0</v>
      </c>
      <c r="G123" s="924">
        <v>0</v>
      </c>
      <c r="H123" s="924">
        <v>0</v>
      </c>
      <c r="I123" s="924">
        <v>0</v>
      </c>
      <c r="J123" s="924">
        <v>0</v>
      </c>
      <c r="K123" s="924">
        <v>0</v>
      </c>
      <c r="L123" s="924">
        <v>0</v>
      </c>
      <c r="M123" s="924">
        <v>0</v>
      </c>
      <c r="N123" s="924">
        <v>0</v>
      </c>
    </row>
    <row r="124" spans="1:14" x14ac:dyDescent="0.25">
      <c r="A124" s="473">
        <f t="shared" si="3"/>
        <v>60</v>
      </c>
      <c r="C124" s="934" t="s">
        <v>1388</v>
      </c>
      <c r="D124" s="924">
        <v>0</v>
      </c>
      <c r="E124" s="924">
        <v>0</v>
      </c>
      <c r="F124" s="924">
        <v>0</v>
      </c>
      <c r="G124" s="924">
        <v>0</v>
      </c>
      <c r="H124" s="924">
        <v>0</v>
      </c>
      <c r="I124" s="924">
        <v>0</v>
      </c>
      <c r="J124" s="924">
        <v>0</v>
      </c>
      <c r="K124" s="924">
        <v>0</v>
      </c>
      <c r="L124" s="924">
        <v>0</v>
      </c>
      <c r="M124" s="924">
        <v>0</v>
      </c>
      <c r="N124" s="924">
        <v>0</v>
      </c>
    </row>
    <row r="125" spans="1:14" x14ac:dyDescent="0.25">
      <c r="A125" s="473">
        <f t="shared" si="3"/>
        <v>61</v>
      </c>
      <c r="C125" s="934" t="s">
        <v>1388</v>
      </c>
      <c r="D125" s="924">
        <v>0</v>
      </c>
      <c r="E125" s="924">
        <v>0</v>
      </c>
      <c r="F125" s="924">
        <v>0</v>
      </c>
      <c r="G125" s="924">
        <v>0</v>
      </c>
      <c r="H125" s="924">
        <v>0</v>
      </c>
      <c r="I125" s="924">
        <v>0</v>
      </c>
      <c r="J125" s="924">
        <v>0</v>
      </c>
      <c r="K125" s="924">
        <v>0</v>
      </c>
      <c r="L125" s="924">
        <v>0</v>
      </c>
      <c r="M125" s="924">
        <v>0</v>
      </c>
      <c r="N125" s="924">
        <v>0</v>
      </c>
    </row>
    <row r="126" spans="1:14" x14ac:dyDescent="0.25">
      <c r="A126" s="473">
        <f t="shared" si="3"/>
        <v>62</v>
      </c>
      <c r="C126" s="934" t="s">
        <v>1388</v>
      </c>
      <c r="D126" s="924">
        <v>0</v>
      </c>
      <c r="E126" s="924">
        <v>0</v>
      </c>
      <c r="F126" s="924">
        <v>0</v>
      </c>
      <c r="G126" s="924">
        <v>0</v>
      </c>
      <c r="H126" s="924">
        <v>0</v>
      </c>
      <c r="I126" s="924">
        <v>0</v>
      </c>
      <c r="J126" s="924">
        <v>0</v>
      </c>
      <c r="K126" s="924">
        <v>0</v>
      </c>
      <c r="L126" s="924">
        <v>0</v>
      </c>
      <c r="M126" s="924">
        <v>0</v>
      </c>
      <c r="N126" s="924">
        <v>0</v>
      </c>
    </row>
    <row r="127" spans="1:14" x14ac:dyDescent="0.25">
      <c r="A127" s="473">
        <f t="shared" si="3"/>
        <v>63</v>
      </c>
      <c r="C127" s="934" t="s">
        <v>1388</v>
      </c>
      <c r="D127" s="924">
        <v>0</v>
      </c>
      <c r="E127" s="924">
        <v>0</v>
      </c>
      <c r="F127" s="924">
        <v>0</v>
      </c>
      <c r="G127" s="924">
        <v>0</v>
      </c>
      <c r="H127" s="924">
        <v>0</v>
      </c>
      <c r="I127" s="924">
        <v>0</v>
      </c>
      <c r="J127" s="924">
        <v>0</v>
      </c>
      <c r="K127" s="924">
        <v>0</v>
      </c>
      <c r="L127" s="924">
        <v>0</v>
      </c>
      <c r="M127" s="924">
        <v>0</v>
      </c>
      <c r="N127" s="924">
        <v>0</v>
      </c>
    </row>
    <row r="128" spans="1:14" x14ac:dyDescent="0.25">
      <c r="A128" s="473">
        <f t="shared" si="3"/>
        <v>64</v>
      </c>
      <c r="C128" s="934" t="s">
        <v>1388</v>
      </c>
      <c r="D128" s="924">
        <v>0</v>
      </c>
      <c r="E128" s="924">
        <v>0</v>
      </c>
      <c r="F128" s="924">
        <v>0</v>
      </c>
      <c r="G128" s="924">
        <v>0</v>
      </c>
      <c r="H128" s="924">
        <v>0</v>
      </c>
      <c r="I128" s="924">
        <v>0</v>
      </c>
      <c r="J128" s="924">
        <v>0</v>
      </c>
      <c r="K128" s="924">
        <v>0</v>
      </c>
      <c r="L128" s="924">
        <v>0</v>
      </c>
      <c r="M128" s="924">
        <v>0</v>
      </c>
      <c r="N128" s="924">
        <v>0</v>
      </c>
    </row>
    <row r="129" spans="1:14" x14ac:dyDescent="0.25">
      <c r="A129" s="473">
        <f t="shared" si="3"/>
        <v>65</v>
      </c>
      <c r="C129" s="934" t="s">
        <v>1388</v>
      </c>
      <c r="D129" s="924">
        <v>0</v>
      </c>
      <c r="E129" s="924">
        <v>0</v>
      </c>
      <c r="F129" s="924">
        <v>0</v>
      </c>
      <c r="G129" s="924">
        <v>0</v>
      </c>
      <c r="H129" s="924">
        <v>0</v>
      </c>
      <c r="I129" s="924">
        <v>0</v>
      </c>
      <c r="J129" s="924">
        <v>0</v>
      </c>
      <c r="K129" s="924">
        <v>0</v>
      </c>
      <c r="L129" s="924">
        <v>0</v>
      </c>
      <c r="M129" s="924">
        <v>0</v>
      </c>
      <c r="N129" s="924">
        <v>0</v>
      </c>
    </row>
    <row r="130" spans="1:14" ht="15" x14ac:dyDescent="0.4">
      <c r="A130" s="473">
        <f t="shared" si="3"/>
        <v>66</v>
      </c>
      <c r="C130" s="934" t="s">
        <v>1388</v>
      </c>
      <c r="D130" s="925">
        <v>0</v>
      </c>
      <c r="E130" s="925">
        <v>0</v>
      </c>
      <c r="F130" s="925">
        <v>0</v>
      </c>
      <c r="G130" s="925">
        <v>0</v>
      </c>
      <c r="H130" s="925">
        <v>0</v>
      </c>
      <c r="I130" s="925">
        <v>0</v>
      </c>
      <c r="J130" s="925">
        <v>0</v>
      </c>
      <c r="K130" s="925">
        <v>0</v>
      </c>
      <c r="L130" s="925">
        <v>0</v>
      </c>
      <c r="M130" s="925">
        <v>0</v>
      </c>
      <c r="N130" s="925">
        <v>0</v>
      </c>
    </row>
    <row r="131" spans="1:14" x14ac:dyDescent="0.25">
      <c r="A131" s="473">
        <f t="shared" si="3"/>
        <v>67</v>
      </c>
      <c r="C131" s="476" t="s">
        <v>4</v>
      </c>
      <c r="D131" s="924">
        <v>0</v>
      </c>
      <c r="E131" s="924">
        <v>0</v>
      </c>
      <c r="F131" s="924">
        <v>0</v>
      </c>
      <c r="G131" s="924">
        <v>0</v>
      </c>
      <c r="H131" s="924">
        <v>0</v>
      </c>
      <c r="I131" s="924">
        <v>0</v>
      </c>
      <c r="J131" s="924">
        <v>0</v>
      </c>
      <c r="K131" s="924">
        <v>0</v>
      </c>
      <c r="L131" s="924">
        <v>0</v>
      </c>
      <c r="M131" s="924">
        <v>0</v>
      </c>
      <c r="N131" s="924">
        <v>0</v>
      </c>
    </row>
    <row r="133" spans="1:14" x14ac:dyDescent="0.25">
      <c r="B133" s="369" t="s">
        <v>233</v>
      </c>
    </row>
    <row r="134" spans="1:14" x14ac:dyDescent="0.25">
      <c r="B134" s="893" t="s">
        <v>2360</v>
      </c>
      <c r="C134" s="13"/>
      <c r="D134" s="13"/>
      <c r="E134" s="13"/>
      <c r="F134" s="13"/>
      <c r="G134" s="13"/>
      <c r="H134" s="13"/>
      <c r="I134" s="13"/>
      <c r="J134" s="13"/>
    </row>
    <row r="135" spans="1:14" x14ac:dyDescent="0.25">
      <c r="B135" s="1087" t="s">
        <v>1896</v>
      </c>
      <c r="C135" s="13"/>
      <c r="D135" s="13"/>
      <c r="E135" s="13"/>
      <c r="F135" s="13"/>
      <c r="G135" s="13"/>
      <c r="H135" s="13"/>
      <c r="I135" s="13"/>
      <c r="J135" s="13"/>
    </row>
    <row r="136" spans="1:14" x14ac:dyDescent="0.25">
      <c r="B136" s="587" t="s">
        <v>1876</v>
      </c>
      <c r="C136" s="570"/>
      <c r="D136" s="570"/>
      <c r="E136" s="570"/>
      <c r="F136" s="570"/>
      <c r="G136" s="570"/>
      <c r="H136" s="570"/>
      <c r="I136" s="570"/>
      <c r="J136" s="13"/>
      <c r="K136" s="13"/>
      <c r="L136" s="570"/>
      <c r="M136" s="570"/>
      <c r="N136" s="13"/>
    </row>
    <row r="137" spans="1:14" x14ac:dyDescent="0.25">
      <c r="B137" s="898" t="s">
        <v>2658</v>
      </c>
      <c r="C137" s="570"/>
      <c r="D137" s="570"/>
      <c r="E137" s="570"/>
      <c r="F137" s="570"/>
      <c r="G137" s="570"/>
      <c r="H137" s="570"/>
      <c r="I137" s="570"/>
      <c r="J137" s="570"/>
      <c r="K137" s="570"/>
      <c r="L137" s="570"/>
      <c r="M137" s="570"/>
      <c r="N137" s="13"/>
    </row>
    <row r="138" spans="1:14" x14ac:dyDescent="0.25">
      <c r="B138" s="898" t="s">
        <v>2474</v>
      </c>
      <c r="C138" s="570"/>
      <c r="D138" s="570"/>
      <c r="E138" s="570"/>
      <c r="F138" s="570"/>
      <c r="G138" s="570"/>
      <c r="H138" s="570"/>
      <c r="I138" s="570"/>
      <c r="J138" s="570"/>
      <c r="K138" s="570"/>
      <c r="L138" s="570"/>
      <c r="M138" s="570"/>
      <c r="N138" s="13"/>
    </row>
    <row r="139" spans="1:14" x14ac:dyDescent="0.25">
      <c r="B139" s="898" t="s">
        <v>1877</v>
      </c>
      <c r="C139" s="570"/>
      <c r="D139" s="570"/>
      <c r="E139" s="570"/>
      <c r="F139" s="570"/>
      <c r="G139" s="570"/>
      <c r="H139" s="570"/>
      <c r="I139" s="570"/>
      <c r="J139" s="570"/>
      <c r="K139" s="570"/>
      <c r="L139" s="570"/>
      <c r="M139" s="570"/>
      <c r="N139" s="13"/>
    </row>
    <row r="140" spans="1:14" x14ac:dyDescent="0.25">
      <c r="B140" s="587" t="s">
        <v>1878</v>
      </c>
      <c r="C140" s="570"/>
      <c r="D140" s="570"/>
      <c r="E140" s="570"/>
      <c r="F140" s="570"/>
      <c r="G140" s="570"/>
      <c r="H140" s="570"/>
      <c r="I140" s="570"/>
      <c r="J140" s="570"/>
      <c r="K140" s="570"/>
      <c r="L140" s="570"/>
      <c r="M140" s="570"/>
      <c r="N140" s="13"/>
    </row>
    <row r="141" spans="1:14" x14ac:dyDescent="0.25">
      <c r="B141" s="898" t="s">
        <v>2345</v>
      </c>
      <c r="C141" s="570"/>
      <c r="D141" s="570"/>
      <c r="E141" s="570"/>
      <c r="F141" s="570"/>
      <c r="G141" s="570"/>
      <c r="H141" s="570"/>
      <c r="I141" s="570"/>
      <c r="J141" s="570"/>
      <c r="K141" s="570"/>
      <c r="L141" s="570"/>
      <c r="M141" s="570"/>
      <c r="N141" s="13"/>
    </row>
    <row r="142" spans="1:14" x14ac:dyDescent="0.25">
      <c r="B142" s="898" t="s">
        <v>2475</v>
      </c>
      <c r="C142" s="570"/>
      <c r="D142" s="570"/>
      <c r="E142" s="570"/>
      <c r="F142" s="570"/>
      <c r="G142" s="570"/>
      <c r="H142" s="570"/>
      <c r="I142" s="570"/>
      <c r="J142" s="570"/>
      <c r="K142" s="570"/>
      <c r="L142" s="570"/>
      <c r="M142" s="570"/>
      <c r="N142" s="13"/>
    </row>
    <row r="143" spans="1:14" x14ac:dyDescent="0.25">
      <c r="B143" s="898" t="s">
        <v>2346</v>
      </c>
      <c r="C143" s="570"/>
      <c r="D143" s="570"/>
      <c r="E143" s="570"/>
      <c r="F143" s="570"/>
      <c r="G143" s="570"/>
      <c r="H143" s="570"/>
      <c r="I143" s="570"/>
      <c r="J143" s="570"/>
      <c r="K143" s="570"/>
      <c r="L143" s="570"/>
      <c r="M143" s="570"/>
      <c r="N143" s="13"/>
    </row>
    <row r="144" spans="1:14" x14ac:dyDescent="0.25">
      <c r="B144" s="445" t="str">
        <f>"2) Amounts on Line "&amp;A33&amp;" derived from Plant Study for previous year Prior Year."</f>
        <v>2) Amounts on Line 15 derived from Plant Study for previous year Prior Year.</v>
      </c>
      <c r="C144" s="13"/>
      <c r="D144" s="13"/>
      <c r="E144" s="13"/>
      <c r="F144" s="13"/>
      <c r="G144" s="13"/>
      <c r="H144" s="13"/>
      <c r="I144" s="13"/>
      <c r="J144" s="13"/>
    </row>
    <row r="145" spans="2:10" x14ac:dyDescent="0.25">
      <c r="B145" s="442" t="str">
        <f>"Amounts on Line "&amp;A34&amp;" derived from Plant Study for Prior Year."</f>
        <v>Amounts on Line 16 derived from Plant Study for Prior Year.</v>
      </c>
      <c r="C145" s="13"/>
      <c r="D145" s="13"/>
      <c r="E145" s="13"/>
      <c r="F145" s="13"/>
      <c r="G145" s="13"/>
      <c r="H145" s="13"/>
      <c r="I145" s="13"/>
      <c r="J145" s="13"/>
    </row>
    <row r="146" spans="2:10" x14ac:dyDescent="0.25">
      <c r="B146" s="13" t="str">
        <f>"3) From 17-Depreciation, Lines "&amp;'17-Depreciation'!A49&amp;" to "&amp;'17-Depreciation'!A60&amp;"."</f>
        <v>3) From 17-Depreciation, Lines 24 to 35.</v>
      </c>
      <c r="C146" s="13"/>
      <c r="D146" s="13"/>
      <c r="E146" s="13"/>
      <c r="F146" s="13"/>
      <c r="G146" s="13"/>
      <c r="H146" s="13"/>
      <c r="I146" s="13"/>
      <c r="J146" s="13"/>
    </row>
    <row r="147" spans="2:10" x14ac:dyDescent="0.25">
      <c r="B147" s="445" t="s">
        <v>2476</v>
      </c>
      <c r="C147" s="13"/>
      <c r="D147" s="13"/>
      <c r="E147" s="13"/>
      <c r="F147" s="13"/>
      <c r="G147" s="13"/>
      <c r="H147" s="13"/>
      <c r="I147" s="13"/>
      <c r="J147" s="13"/>
    </row>
    <row r="148" spans="2:10" x14ac:dyDescent="0.25">
      <c r="B148" s="445" t="str">
        <f>"5) Line "&amp;A24&amp;" - Line "&amp;A12&amp;"."</f>
        <v>5) Line 13 - Line 1.</v>
      </c>
      <c r="C148" s="13"/>
      <c r="D148" s="13"/>
      <c r="E148" s="13"/>
      <c r="F148" s="13"/>
      <c r="G148" s="13"/>
      <c r="H148" s="13"/>
      <c r="I148" s="13"/>
      <c r="J148" s="13"/>
    </row>
    <row r="149" spans="2:10" x14ac:dyDescent="0.25">
      <c r="B149" s="13" t="str">
        <f>"6) Line "&amp;A82&amp;"."</f>
        <v>6) Line 39.</v>
      </c>
      <c r="C149" s="13"/>
      <c r="D149" s="13"/>
      <c r="E149" s="13"/>
      <c r="F149" s="13"/>
      <c r="G149" s="13"/>
      <c r="H149" s="13"/>
      <c r="I149" s="13"/>
      <c r="J149" s="13"/>
    </row>
    <row r="150" spans="2:10" x14ac:dyDescent="0.25">
      <c r="B150" s="445" t="str">
        <f>"7) Line "&amp;A106&amp;" - Line "&amp;A109&amp;"."</f>
        <v>7) Line 52 - Line 53.</v>
      </c>
      <c r="C150" s="13"/>
      <c r="D150" s="13"/>
      <c r="E150" s="13"/>
      <c r="F150" s="13"/>
      <c r="G150" s="13"/>
      <c r="H150" s="13"/>
      <c r="I150" s="13"/>
      <c r="J150" s="13"/>
    </row>
    <row r="151" spans="2:10" x14ac:dyDescent="0.25">
      <c r="B151" s="445" t="s">
        <v>2477</v>
      </c>
      <c r="C151" s="13"/>
      <c r="D151" s="13"/>
      <c r="E151" s="13"/>
      <c r="F151" s="13"/>
      <c r="G151" s="13"/>
      <c r="H151" s="13"/>
      <c r="I151" s="13"/>
      <c r="J151" s="13"/>
    </row>
    <row r="152" spans="2:10" x14ac:dyDescent="0.25">
      <c r="B152" s="442" t="s">
        <v>2478</v>
      </c>
      <c r="C152" s="13"/>
      <c r="D152" s="13"/>
      <c r="E152" s="13"/>
      <c r="F152" s="13"/>
      <c r="G152" s="13"/>
      <c r="H152" s="13"/>
      <c r="I152" s="13"/>
      <c r="J152" s="13"/>
    </row>
    <row r="153" spans="2:10" x14ac:dyDescent="0.25">
      <c r="B153" s="445"/>
      <c r="C153" s="13"/>
      <c r="D153" s="13"/>
      <c r="E153" s="13"/>
      <c r="F153" s="13"/>
      <c r="G153" s="13"/>
      <c r="H153" s="13"/>
      <c r="I153" s="13"/>
      <c r="J153"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6" max="16383" man="1"/>
    <brk id="62" max="16383" man="1"/>
    <brk id="11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36"/>
  <sheetViews>
    <sheetView zoomScaleNormal="100" workbookViewId="0">
      <selection activeCell="E13" sqref="E13"/>
    </sheetView>
  </sheetViews>
  <sheetFormatPr defaultRowHeight="13.8" x14ac:dyDescent="0.3"/>
  <cols>
    <col min="1" max="1" width="4.6640625" customWidth="1"/>
    <col min="2" max="2" width="9.6640625" style="506" customWidth="1"/>
    <col min="3" max="3" width="44.6640625" style="506" customWidth="1"/>
    <col min="4" max="8" width="15.6640625" style="506" customWidth="1"/>
    <col min="9" max="9" width="16.109375" style="506" bestFit="1" customWidth="1"/>
    <col min="10" max="10" width="33.6640625" style="506" customWidth="1"/>
  </cols>
  <sheetData>
    <row r="1" spans="1:12" ht="13.2" x14ac:dyDescent="0.25">
      <c r="A1" s="881" t="s">
        <v>1224</v>
      </c>
      <c r="B1" s="208"/>
      <c r="C1" s="208"/>
      <c r="D1" s="208"/>
      <c r="E1" s="208"/>
      <c r="F1" s="365" t="s">
        <v>304</v>
      </c>
      <c r="G1" s="365"/>
      <c r="H1" s="208"/>
      <c r="I1" s="202"/>
      <c r="J1" s="202"/>
      <c r="K1" s="505"/>
      <c r="L1" s="505"/>
    </row>
    <row r="2" spans="1:12" ht="13.2" x14ac:dyDescent="0.25">
      <c r="A2" s="208"/>
      <c r="B2" s="635"/>
      <c r="C2" s="587"/>
      <c r="D2" s="587"/>
      <c r="E2" s="208"/>
      <c r="F2" s="202"/>
      <c r="G2" s="202"/>
      <c r="H2" s="202"/>
      <c r="I2" s="202"/>
      <c r="J2" s="202"/>
      <c r="K2" s="505"/>
      <c r="L2" s="505"/>
    </row>
    <row r="3" spans="1:12" ht="13.2" x14ac:dyDescent="0.25">
      <c r="A3" s="202"/>
      <c r="B3" s="576" t="s">
        <v>1565</v>
      </c>
      <c r="C3" s="577"/>
      <c r="D3" s="577"/>
      <c r="E3" s="202"/>
      <c r="F3" s="202"/>
      <c r="G3" s="202"/>
      <c r="H3" s="202"/>
      <c r="I3" s="202"/>
      <c r="J3" s="202"/>
      <c r="K3" s="505"/>
      <c r="L3" s="505"/>
    </row>
    <row r="4" spans="1:12" ht="13.2" x14ac:dyDescent="0.25">
      <c r="A4" s="202"/>
      <c r="B4" s="576"/>
      <c r="C4" s="577"/>
      <c r="D4" s="577"/>
      <c r="E4" s="202"/>
      <c r="F4" s="202"/>
      <c r="G4" s="202"/>
      <c r="H4" s="202"/>
      <c r="I4" s="202"/>
      <c r="J4" s="202"/>
      <c r="K4" s="505"/>
      <c r="L4" s="505"/>
    </row>
    <row r="5" spans="1:12" ht="13.2" x14ac:dyDescent="0.25">
      <c r="A5" s="202"/>
      <c r="B5" s="578" t="s">
        <v>1566</v>
      </c>
      <c r="C5" s="577"/>
      <c r="D5" s="577"/>
      <c r="E5" s="202"/>
      <c r="F5" s="202"/>
      <c r="G5" s="202"/>
      <c r="H5" s="202"/>
      <c r="I5" s="202"/>
      <c r="J5" s="202"/>
      <c r="K5" s="505"/>
      <c r="L5" s="505"/>
    </row>
    <row r="6" spans="1:12" x14ac:dyDescent="0.3">
      <c r="A6" s="202"/>
      <c r="B6" s="576"/>
      <c r="C6" s="76" t="s">
        <v>363</v>
      </c>
      <c r="D6" s="76" t="s">
        <v>347</v>
      </c>
      <c r="E6" s="202"/>
      <c r="I6" s="202"/>
      <c r="J6" s="202"/>
      <c r="K6" s="505"/>
      <c r="L6" s="505"/>
    </row>
    <row r="7" spans="1:12" x14ac:dyDescent="0.3">
      <c r="A7" s="202"/>
      <c r="B7" s="506" t="s">
        <v>331</v>
      </c>
      <c r="C7" s="577"/>
      <c r="D7" s="202"/>
      <c r="E7" s="202"/>
      <c r="I7" s="202"/>
      <c r="J7" s="202"/>
      <c r="K7" s="505"/>
      <c r="L7" s="505"/>
    </row>
    <row r="8" spans="1:12" x14ac:dyDescent="0.3">
      <c r="A8" s="202"/>
      <c r="B8" s="576"/>
      <c r="C8" s="208"/>
      <c r="D8" s="94" t="s">
        <v>197</v>
      </c>
      <c r="J8" s="202"/>
      <c r="K8" s="505"/>
      <c r="L8" s="505"/>
    </row>
    <row r="9" spans="1:12" x14ac:dyDescent="0.3">
      <c r="A9" s="46" t="s">
        <v>332</v>
      </c>
      <c r="B9" s="576"/>
      <c r="C9" s="494" t="s">
        <v>100</v>
      </c>
      <c r="D9" s="104" t="s">
        <v>202</v>
      </c>
      <c r="E9" s="326" t="s">
        <v>180</v>
      </c>
      <c r="J9" s="202"/>
      <c r="K9" s="505"/>
      <c r="L9" s="505"/>
    </row>
    <row r="10" spans="1:12" x14ac:dyDescent="0.3">
      <c r="A10" s="547">
        <v>1</v>
      </c>
      <c r="B10" s="576"/>
      <c r="C10" s="445" t="s">
        <v>1229</v>
      </c>
      <c r="D10" s="924">
        <v>0</v>
      </c>
      <c r="E10" s="442" t="str">
        <f>"Line "&amp;A139&amp;", Col. 2"</f>
        <v>Line 353, Col. 2</v>
      </c>
      <c r="J10" s="202"/>
      <c r="K10" s="505"/>
      <c r="L10" s="505"/>
    </row>
    <row r="11" spans="1:12" x14ac:dyDescent="0.3">
      <c r="A11" s="547">
        <f>A10+1</f>
        <v>2</v>
      </c>
      <c r="B11" s="576"/>
      <c r="C11" s="445" t="s">
        <v>1227</v>
      </c>
      <c r="D11" s="924">
        <v>0</v>
      </c>
      <c r="E11" s="442" t="str">
        <f>"Line "&amp;A173&amp;", Col. 2"</f>
        <v>Line 452, Col. 2</v>
      </c>
      <c r="J11" s="202"/>
      <c r="K11" s="505"/>
      <c r="L11" s="505"/>
    </row>
    <row r="12" spans="1:12" x14ac:dyDescent="0.3">
      <c r="A12" s="547">
        <f t="shared" ref="A12" si="0">A11+1</f>
        <v>3</v>
      </c>
      <c r="B12" s="576"/>
      <c r="C12" s="445" t="s">
        <v>1228</v>
      </c>
      <c r="D12" s="924">
        <v>0</v>
      </c>
      <c r="E12" s="442" t="str">
        <f>"Line "&amp;A285&amp;", Col. 2"</f>
        <v>Line 803, Col. 2</v>
      </c>
      <c r="I12" s="507"/>
      <c r="J12" s="202"/>
      <c r="K12" s="505"/>
      <c r="L12" s="505"/>
    </row>
    <row r="13" spans="1:12" ht="15" x14ac:dyDescent="0.4">
      <c r="A13" s="1164">
        <v>4</v>
      </c>
      <c r="B13" s="576"/>
      <c r="C13" s="1165" t="s">
        <v>2661</v>
      </c>
      <c r="D13" s="1168">
        <v>0</v>
      </c>
      <c r="E13" s="1166" t="s">
        <v>2692</v>
      </c>
      <c r="I13" s="507"/>
      <c r="J13" s="202"/>
      <c r="K13" s="505"/>
      <c r="L13" s="505"/>
    </row>
    <row r="14" spans="1:12" x14ac:dyDescent="0.3">
      <c r="A14" s="1057" t="s">
        <v>2662</v>
      </c>
      <c r="B14" s="576"/>
      <c r="C14" s="445" t="s">
        <v>1569</v>
      </c>
      <c r="D14" s="924">
        <v>0</v>
      </c>
      <c r="E14" s="1051" t="s">
        <v>2673</v>
      </c>
      <c r="J14" s="202"/>
      <c r="K14" s="505"/>
      <c r="L14" s="505"/>
    </row>
    <row r="15" spans="1:12" x14ac:dyDescent="0.3">
      <c r="A15" s="1057" t="s">
        <v>2663</v>
      </c>
      <c r="B15" s="576"/>
      <c r="D15" s="208"/>
      <c r="E15" s="208"/>
      <c r="G15" s="508"/>
      <c r="H15" s="213"/>
      <c r="I15" s="208"/>
      <c r="J15" s="202"/>
      <c r="K15" s="505"/>
      <c r="L15" s="505"/>
    </row>
    <row r="16" spans="1:12" x14ac:dyDescent="0.3">
      <c r="A16" s="1057" t="s">
        <v>2664</v>
      </c>
      <c r="B16" s="578" t="s">
        <v>1568</v>
      </c>
      <c r="E16" s="208"/>
      <c r="G16" s="507"/>
      <c r="H16" s="509"/>
      <c r="I16" s="507"/>
      <c r="J16" s="202"/>
      <c r="K16" s="505"/>
      <c r="L16" s="505"/>
    </row>
    <row r="17" spans="1:12" x14ac:dyDescent="0.3">
      <c r="A17" s="1057" t="s">
        <v>2665</v>
      </c>
      <c r="B17" s="578"/>
      <c r="D17" s="94" t="s">
        <v>385</v>
      </c>
      <c r="E17" s="208"/>
      <c r="G17" s="507"/>
      <c r="H17" s="509"/>
      <c r="I17" s="507"/>
      <c r="J17" s="202"/>
      <c r="K17" s="505"/>
      <c r="L17" s="505"/>
    </row>
    <row r="18" spans="1:12" x14ac:dyDescent="0.3">
      <c r="A18" s="1057" t="s">
        <v>2666</v>
      </c>
      <c r="B18" s="576"/>
      <c r="D18" s="104" t="s">
        <v>202</v>
      </c>
      <c r="E18" s="326" t="s">
        <v>180</v>
      </c>
      <c r="G18" s="510"/>
      <c r="H18" s="507"/>
      <c r="I18" s="507"/>
      <c r="J18" s="202"/>
      <c r="K18" s="505"/>
      <c r="L18" s="505"/>
    </row>
    <row r="19" spans="1:12" x14ac:dyDescent="0.3">
      <c r="A19" s="1057" t="s">
        <v>2667</v>
      </c>
      <c r="B19" s="576"/>
      <c r="C19" s="445" t="s">
        <v>1569</v>
      </c>
      <c r="D19" s="932">
        <v>0</v>
      </c>
      <c r="E19" s="430" t="s">
        <v>2674</v>
      </c>
      <c r="G19" s="507"/>
      <c r="H19" s="507"/>
      <c r="I19" s="507"/>
      <c r="K19" s="505"/>
      <c r="L19" s="505"/>
    </row>
    <row r="20" spans="1:12" x14ac:dyDescent="0.3">
      <c r="A20" s="1057" t="s">
        <v>2668</v>
      </c>
      <c r="B20" s="576"/>
      <c r="D20" s="208"/>
      <c r="E20" s="208"/>
      <c r="F20" s="507"/>
      <c r="G20" s="507"/>
      <c r="H20" s="507"/>
      <c r="I20" s="507"/>
      <c r="J20" s="202"/>
      <c r="K20" s="505"/>
      <c r="L20" s="505"/>
    </row>
    <row r="21" spans="1:12" x14ac:dyDescent="0.3">
      <c r="A21" s="1057" t="s">
        <v>2669</v>
      </c>
      <c r="B21" s="578" t="s">
        <v>1570</v>
      </c>
      <c r="D21" s="208"/>
      <c r="E21" s="208"/>
      <c r="F21" s="507"/>
      <c r="G21" s="507"/>
      <c r="H21" s="507"/>
      <c r="I21" s="507"/>
      <c r="J21" s="202"/>
      <c r="K21" s="505"/>
      <c r="L21" s="505"/>
    </row>
    <row r="22" spans="1:12" ht="13.2" x14ac:dyDescent="0.25">
      <c r="A22" s="1057" t="s">
        <v>2670</v>
      </c>
      <c r="B22" s="577"/>
      <c r="C22" s="579"/>
      <c r="D22" s="580" t="s">
        <v>232</v>
      </c>
      <c r="E22" s="202"/>
      <c r="F22" s="202"/>
      <c r="G22" s="202"/>
      <c r="H22" s="202"/>
      <c r="I22" s="202"/>
      <c r="J22" s="202"/>
      <c r="K22" s="505"/>
      <c r="L22" s="505"/>
    </row>
    <row r="23" spans="1:12" x14ac:dyDescent="0.3">
      <c r="A23" s="1057" t="s">
        <v>2671</v>
      </c>
      <c r="B23" s="577"/>
      <c r="D23" s="104" t="s">
        <v>202</v>
      </c>
      <c r="E23" s="326" t="s">
        <v>180</v>
      </c>
      <c r="F23" s="202"/>
      <c r="G23" s="510"/>
      <c r="H23" s="202"/>
      <c r="I23" s="202"/>
      <c r="J23" s="202"/>
      <c r="K23" s="505"/>
      <c r="L23" s="505"/>
    </row>
    <row r="24" spans="1:12" ht="13.2" x14ac:dyDescent="0.25">
      <c r="A24" s="1057" t="s">
        <v>2672</v>
      </c>
      <c r="B24" s="577"/>
      <c r="C24" s="581" t="s">
        <v>2495</v>
      </c>
      <c r="D24" s="924">
        <v>0</v>
      </c>
      <c r="E24" s="213" t="str">
        <f>"Line "&amp;A310&amp;""</f>
        <v>Line 819</v>
      </c>
      <c r="F24" s="202"/>
      <c r="G24" s="507"/>
      <c r="H24" s="202"/>
      <c r="I24" s="202"/>
      <c r="J24" s="202"/>
      <c r="K24" s="505"/>
      <c r="L24" s="505"/>
    </row>
    <row r="25" spans="1:12" ht="13.2" x14ac:dyDescent="0.25">
      <c r="A25" s="547"/>
      <c r="B25" s="577"/>
      <c r="C25" s="579"/>
      <c r="D25" s="582"/>
      <c r="E25" s="202"/>
      <c r="F25" s="202"/>
      <c r="G25" s="202"/>
      <c r="H25" s="202"/>
      <c r="I25" s="202"/>
      <c r="J25" s="202"/>
      <c r="K25" s="505"/>
      <c r="L25" s="505"/>
    </row>
    <row r="26" spans="1:12" ht="13.2" x14ac:dyDescent="0.25">
      <c r="A26" s="547"/>
      <c r="B26" s="576" t="s">
        <v>1571</v>
      </c>
      <c r="C26" s="579"/>
      <c r="D26" s="582"/>
      <c r="E26" s="202"/>
      <c r="F26" s="202"/>
      <c r="G26" s="202"/>
      <c r="H26" s="202"/>
      <c r="I26" s="202"/>
      <c r="J26" s="202"/>
    </row>
    <row r="27" spans="1:12" ht="13.2" x14ac:dyDescent="0.25">
      <c r="A27" s="547"/>
      <c r="B27" s="576"/>
      <c r="C27" s="76" t="s">
        <v>363</v>
      </c>
      <c r="D27" s="76" t="s">
        <v>347</v>
      </c>
      <c r="E27" s="76" t="s">
        <v>348</v>
      </c>
      <c r="F27" s="76" t="s">
        <v>349</v>
      </c>
      <c r="G27" s="76" t="s">
        <v>350</v>
      </c>
      <c r="H27" s="76" t="s">
        <v>351</v>
      </c>
      <c r="I27" s="76" t="s">
        <v>352</v>
      </c>
      <c r="J27" s="202"/>
    </row>
    <row r="28" spans="1:12" ht="13.2" x14ac:dyDescent="0.25">
      <c r="A28" s="443"/>
      <c r="B28" s="580"/>
      <c r="C28" s="580"/>
      <c r="D28" s="580" t="s">
        <v>1572</v>
      </c>
      <c r="E28" s="580" t="s">
        <v>1573</v>
      </c>
      <c r="F28" s="580"/>
      <c r="G28" s="580"/>
      <c r="H28" s="580" t="s">
        <v>1282</v>
      </c>
      <c r="I28" s="899" t="s">
        <v>1899</v>
      </c>
      <c r="J28" s="202"/>
    </row>
    <row r="29" spans="1:12" ht="13.2" x14ac:dyDescent="0.25">
      <c r="A29" s="443"/>
      <c r="B29" s="583" t="s">
        <v>1574</v>
      </c>
      <c r="C29" s="583" t="s">
        <v>1575</v>
      </c>
      <c r="D29" s="583" t="s">
        <v>1576</v>
      </c>
      <c r="E29" s="583" t="s">
        <v>1577</v>
      </c>
      <c r="F29" s="583" t="s">
        <v>1578</v>
      </c>
      <c r="G29" s="583" t="s">
        <v>1579</v>
      </c>
      <c r="H29" s="583" t="s">
        <v>1567</v>
      </c>
      <c r="I29" s="583" t="s">
        <v>101</v>
      </c>
      <c r="J29" s="202"/>
    </row>
    <row r="30" spans="1:12" ht="13.2" x14ac:dyDescent="0.25">
      <c r="A30" s="547"/>
      <c r="B30" s="577" t="s">
        <v>1581</v>
      </c>
      <c r="C30" s="577"/>
      <c r="D30" s="577"/>
      <c r="E30" s="202"/>
      <c r="F30" s="202"/>
      <c r="G30" s="202"/>
      <c r="H30" s="202"/>
      <c r="I30" s="202"/>
      <c r="J30" s="202"/>
    </row>
    <row r="31" spans="1:12" ht="13.2" x14ac:dyDescent="0.25">
      <c r="A31" s="160">
        <f>100</f>
        <v>100</v>
      </c>
      <c r="B31" s="589" t="s">
        <v>1388</v>
      </c>
      <c r="C31" s="936" t="s">
        <v>1388</v>
      </c>
      <c r="D31" s="937">
        <v>0</v>
      </c>
      <c r="E31" s="937">
        <v>0</v>
      </c>
      <c r="F31" s="937">
        <v>0</v>
      </c>
      <c r="G31" s="937">
        <v>0</v>
      </c>
      <c r="H31" s="937">
        <v>0</v>
      </c>
      <c r="I31" s="938" t="s">
        <v>1388</v>
      </c>
      <c r="J31" s="365"/>
    </row>
    <row r="32" spans="1:12" ht="13.2" x14ac:dyDescent="0.25">
      <c r="A32" s="160">
        <f t="shared" ref="A32:A95" si="1">A31+1</f>
        <v>101</v>
      </c>
      <c r="B32" s="589" t="s">
        <v>1388</v>
      </c>
      <c r="C32" s="936" t="s">
        <v>1388</v>
      </c>
      <c r="D32" s="937">
        <v>0</v>
      </c>
      <c r="E32" s="937">
        <v>0</v>
      </c>
      <c r="F32" s="937">
        <v>0</v>
      </c>
      <c r="G32" s="937">
        <v>0</v>
      </c>
      <c r="H32" s="937">
        <v>0</v>
      </c>
      <c r="I32" s="938" t="s">
        <v>1388</v>
      </c>
      <c r="J32" s="365"/>
    </row>
    <row r="33" spans="1:10" ht="13.2" x14ac:dyDescent="0.25">
      <c r="A33" s="160">
        <f t="shared" si="1"/>
        <v>102</v>
      </c>
      <c r="B33" s="589" t="s">
        <v>1388</v>
      </c>
      <c r="C33" s="936" t="s">
        <v>1388</v>
      </c>
      <c r="D33" s="937">
        <v>0</v>
      </c>
      <c r="E33" s="937">
        <v>0</v>
      </c>
      <c r="F33" s="937">
        <v>0</v>
      </c>
      <c r="G33" s="937">
        <v>0</v>
      </c>
      <c r="H33" s="937">
        <v>0</v>
      </c>
      <c r="I33" s="938" t="s">
        <v>1388</v>
      </c>
      <c r="J33" s="365"/>
    </row>
    <row r="34" spans="1:10" ht="13.2" x14ac:dyDescent="0.25">
      <c r="A34" s="160">
        <f t="shared" si="1"/>
        <v>103</v>
      </c>
      <c r="B34" s="589" t="s">
        <v>1388</v>
      </c>
      <c r="C34" s="936" t="s">
        <v>1388</v>
      </c>
      <c r="D34" s="937">
        <v>0</v>
      </c>
      <c r="E34" s="937">
        <v>0</v>
      </c>
      <c r="F34" s="937">
        <v>0</v>
      </c>
      <c r="G34" s="937">
        <v>0</v>
      </c>
      <c r="H34" s="937">
        <v>0</v>
      </c>
      <c r="I34" s="938" t="s">
        <v>1388</v>
      </c>
      <c r="J34" s="365"/>
    </row>
    <row r="35" spans="1:10" ht="13.2" x14ac:dyDescent="0.25">
      <c r="A35" s="160">
        <f t="shared" si="1"/>
        <v>104</v>
      </c>
      <c r="B35" s="589" t="s">
        <v>1388</v>
      </c>
      <c r="C35" s="936" t="s">
        <v>1388</v>
      </c>
      <c r="D35" s="937">
        <v>0</v>
      </c>
      <c r="E35" s="937">
        <v>0</v>
      </c>
      <c r="F35" s="937">
        <v>0</v>
      </c>
      <c r="G35" s="937">
        <v>0</v>
      </c>
      <c r="H35" s="937">
        <v>0</v>
      </c>
      <c r="I35" s="938" t="s">
        <v>1388</v>
      </c>
      <c r="J35" s="365"/>
    </row>
    <row r="36" spans="1:10" ht="12.75" customHeight="1" x14ac:dyDescent="0.25">
      <c r="A36" s="160">
        <f t="shared" si="1"/>
        <v>105</v>
      </c>
      <c r="B36" s="589" t="s">
        <v>1388</v>
      </c>
      <c r="C36" s="936" t="s">
        <v>1388</v>
      </c>
      <c r="D36" s="937">
        <v>0</v>
      </c>
      <c r="E36" s="937">
        <v>0</v>
      </c>
      <c r="F36" s="937">
        <v>0</v>
      </c>
      <c r="G36" s="937">
        <v>0</v>
      </c>
      <c r="H36" s="937">
        <v>0</v>
      </c>
      <c r="I36" s="938" t="s">
        <v>1388</v>
      </c>
      <c r="J36" s="365"/>
    </row>
    <row r="37" spans="1:10" ht="13.2" x14ac:dyDescent="0.25">
      <c r="A37" s="160">
        <f t="shared" si="1"/>
        <v>106</v>
      </c>
      <c r="B37" s="589" t="s">
        <v>1388</v>
      </c>
      <c r="C37" s="936" t="s">
        <v>1388</v>
      </c>
      <c r="D37" s="937">
        <v>0</v>
      </c>
      <c r="E37" s="937">
        <v>0</v>
      </c>
      <c r="F37" s="937">
        <v>0</v>
      </c>
      <c r="G37" s="937">
        <v>0</v>
      </c>
      <c r="H37" s="937">
        <v>0</v>
      </c>
      <c r="I37" s="938" t="s">
        <v>1388</v>
      </c>
      <c r="J37" s="365"/>
    </row>
    <row r="38" spans="1:10" ht="13.2" x14ac:dyDescent="0.25">
      <c r="A38" s="160">
        <f t="shared" si="1"/>
        <v>107</v>
      </c>
      <c r="B38" s="589" t="s">
        <v>1388</v>
      </c>
      <c r="C38" s="936" t="s">
        <v>1388</v>
      </c>
      <c r="D38" s="937">
        <v>0</v>
      </c>
      <c r="E38" s="937">
        <v>0</v>
      </c>
      <c r="F38" s="937">
        <v>0</v>
      </c>
      <c r="G38" s="937">
        <v>0</v>
      </c>
      <c r="H38" s="937">
        <v>0</v>
      </c>
      <c r="I38" s="938" t="s">
        <v>1388</v>
      </c>
      <c r="J38" s="365"/>
    </row>
    <row r="39" spans="1:10" ht="13.2" x14ac:dyDescent="0.25">
      <c r="A39" s="160">
        <f t="shared" si="1"/>
        <v>108</v>
      </c>
      <c r="B39" s="589" t="s">
        <v>1388</v>
      </c>
      <c r="C39" s="936" t="s">
        <v>1388</v>
      </c>
      <c r="D39" s="937">
        <v>0</v>
      </c>
      <c r="E39" s="937">
        <v>0</v>
      </c>
      <c r="F39" s="937">
        <v>0</v>
      </c>
      <c r="G39" s="937">
        <v>0</v>
      </c>
      <c r="H39" s="937">
        <v>0</v>
      </c>
      <c r="I39" s="938" t="s">
        <v>1388</v>
      </c>
      <c r="J39" s="365"/>
    </row>
    <row r="40" spans="1:10" ht="13.2" x14ac:dyDescent="0.25">
      <c r="A40" s="160">
        <f>+A39+1</f>
        <v>109</v>
      </c>
      <c r="B40" s="589" t="s">
        <v>1388</v>
      </c>
      <c r="C40" s="936" t="s">
        <v>1388</v>
      </c>
      <c r="D40" s="937">
        <v>0</v>
      </c>
      <c r="E40" s="937">
        <v>0</v>
      </c>
      <c r="F40" s="937">
        <v>0</v>
      </c>
      <c r="G40" s="937">
        <v>0</v>
      </c>
      <c r="H40" s="937">
        <v>0</v>
      </c>
      <c r="I40" s="938" t="s">
        <v>1388</v>
      </c>
      <c r="J40" s="365"/>
    </row>
    <row r="41" spans="1:10" ht="13.2" x14ac:dyDescent="0.25">
      <c r="A41" s="160">
        <f t="shared" si="1"/>
        <v>110</v>
      </c>
      <c r="B41" s="589" t="s">
        <v>1388</v>
      </c>
      <c r="C41" s="936" t="s">
        <v>1388</v>
      </c>
      <c r="D41" s="937">
        <v>0</v>
      </c>
      <c r="E41" s="937">
        <v>0</v>
      </c>
      <c r="F41" s="937">
        <v>0</v>
      </c>
      <c r="G41" s="937">
        <v>0</v>
      </c>
      <c r="H41" s="937">
        <v>0</v>
      </c>
      <c r="I41" s="938" t="s">
        <v>1388</v>
      </c>
      <c r="J41" s="698"/>
    </row>
    <row r="42" spans="1:10" ht="13.2" x14ac:dyDescent="0.25">
      <c r="A42" s="160">
        <f t="shared" si="1"/>
        <v>111</v>
      </c>
      <c r="B42" s="589" t="s">
        <v>1388</v>
      </c>
      <c r="C42" s="936" t="s">
        <v>1388</v>
      </c>
      <c r="D42" s="937">
        <v>0</v>
      </c>
      <c r="E42" s="937">
        <v>0</v>
      </c>
      <c r="F42" s="937">
        <v>0</v>
      </c>
      <c r="G42" s="937">
        <v>0</v>
      </c>
      <c r="H42" s="937">
        <v>0</v>
      </c>
      <c r="I42" s="938" t="s">
        <v>1388</v>
      </c>
      <c r="J42" s="365"/>
    </row>
    <row r="43" spans="1:10" ht="13.2" x14ac:dyDescent="0.25">
      <c r="A43" s="160">
        <f t="shared" si="1"/>
        <v>112</v>
      </c>
      <c r="B43" s="589" t="s">
        <v>1388</v>
      </c>
      <c r="C43" s="936" t="s">
        <v>1388</v>
      </c>
      <c r="D43" s="937">
        <v>0</v>
      </c>
      <c r="E43" s="937">
        <v>0</v>
      </c>
      <c r="F43" s="937">
        <v>0</v>
      </c>
      <c r="G43" s="937">
        <v>0</v>
      </c>
      <c r="H43" s="937">
        <v>0</v>
      </c>
      <c r="I43" s="938" t="s">
        <v>1388</v>
      </c>
      <c r="J43" s="365"/>
    </row>
    <row r="44" spans="1:10" ht="13.2" x14ac:dyDescent="0.25">
      <c r="A44" s="160">
        <f t="shared" si="1"/>
        <v>113</v>
      </c>
      <c r="B44" s="589" t="s">
        <v>1388</v>
      </c>
      <c r="C44" s="936" t="s">
        <v>1388</v>
      </c>
      <c r="D44" s="937">
        <v>0</v>
      </c>
      <c r="E44" s="937">
        <v>0</v>
      </c>
      <c r="F44" s="937">
        <v>0</v>
      </c>
      <c r="G44" s="937">
        <v>0</v>
      </c>
      <c r="H44" s="937">
        <v>0</v>
      </c>
      <c r="I44" s="938" t="s">
        <v>1388</v>
      </c>
      <c r="J44" s="365"/>
    </row>
    <row r="45" spans="1:10" ht="13.2" x14ac:dyDescent="0.25">
      <c r="A45" s="160">
        <f t="shared" si="1"/>
        <v>114</v>
      </c>
      <c r="B45" s="589" t="s">
        <v>1388</v>
      </c>
      <c r="C45" s="936" t="s">
        <v>1388</v>
      </c>
      <c r="D45" s="937">
        <v>0</v>
      </c>
      <c r="E45" s="937">
        <v>0</v>
      </c>
      <c r="F45" s="937">
        <v>0</v>
      </c>
      <c r="G45" s="937">
        <v>0</v>
      </c>
      <c r="H45" s="937">
        <v>0</v>
      </c>
      <c r="I45" s="938" t="s">
        <v>1388</v>
      </c>
      <c r="J45" s="365"/>
    </row>
    <row r="46" spans="1:10" ht="13.2" x14ac:dyDescent="0.25">
      <c r="A46" s="160">
        <f t="shared" si="1"/>
        <v>115</v>
      </c>
      <c r="B46" s="589" t="s">
        <v>1388</v>
      </c>
      <c r="C46" s="936" t="s">
        <v>1388</v>
      </c>
      <c r="D46" s="937">
        <v>0</v>
      </c>
      <c r="E46" s="937">
        <v>0</v>
      </c>
      <c r="F46" s="937">
        <v>0</v>
      </c>
      <c r="G46" s="937">
        <v>0</v>
      </c>
      <c r="H46" s="937">
        <v>0</v>
      </c>
      <c r="I46" s="938" t="s">
        <v>1388</v>
      </c>
      <c r="J46" s="365"/>
    </row>
    <row r="47" spans="1:10" ht="13.2" x14ac:dyDescent="0.25">
      <c r="A47" s="160">
        <f t="shared" si="1"/>
        <v>116</v>
      </c>
      <c r="B47" s="589" t="s">
        <v>1388</v>
      </c>
      <c r="C47" s="936" t="s">
        <v>1388</v>
      </c>
      <c r="D47" s="937">
        <v>0</v>
      </c>
      <c r="E47" s="937">
        <v>0</v>
      </c>
      <c r="F47" s="937">
        <v>0</v>
      </c>
      <c r="G47" s="937">
        <v>0</v>
      </c>
      <c r="H47" s="937">
        <v>0</v>
      </c>
      <c r="I47" s="938" t="s">
        <v>1388</v>
      </c>
      <c r="J47" s="365"/>
    </row>
    <row r="48" spans="1:10" ht="13.2" x14ac:dyDescent="0.25">
      <c r="A48" s="160">
        <f t="shared" si="1"/>
        <v>117</v>
      </c>
      <c r="B48" s="589" t="s">
        <v>1388</v>
      </c>
      <c r="C48" s="936" t="s">
        <v>1388</v>
      </c>
      <c r="D48" s="937">
        <v>0</v>
      </c>
      <c r="E48" s="937">
        <v>0</v>
      </c>
      <c r="F48" s="937">
        <v>0</v>
      </c>
      <c r="G48" s="937">
        <v>0</v>
      </c>
      <c r="H48" s="937">
        <v>0</v>
      </c>
      <c r="I48" s="938" t="s">
        <v>1388</v>
      </c>
      <c r="J48" s="365"/>
    </row>
    <row r="49" spans="1:12" ht="13.2" x14ac:dyDescent="0.25">
      <c r="A49" s="160">
        <f t="shared" si="1"/>
        <v>118</v>
      </c>
      <c r="B49" s="589" t="s">
        <v>1388</v>
      </c>
      <c r="C49" s="936" t="s">
        <v>1388</v>
      </c>
      <c r="D49" s="937">
        <v>0</v>
      </c>
      <c r="E49" s="937">
        <v>0</v>
      </c>
      <c r="F49" s="937">
        <v>0</v>
      </c>
      <c r="G49" s="937">
        <v>0</v>
      </c>
      <c r="H49" s="937">
        <v>0</v>
      </c>
      <c r="I49" s="938" t="s">
        <v>1388</v>
      </c>
      <c r="J49" s="365"/>
    </row>
    <row r="50" spans="1:12" ht="13.2" x14ac:dyDescent="0.25">
      <c r="A50" s="160">
        <f t="shared" si="1"/>
        <v>119</v>
      </c>
      <c r="B50" s="589" t="s">
        <v>1388</v>
      </c>
      <c r="C50" s="936" t="s">
        <v>1388</v>
      </c>
      <c r="D50" s="937">
        <v>0</v>
      </c>
      <c r="E50" s="937">
        <v>0</v>
      </c>
      <c r="F50" s="937">
        <v>0</v>
      </c>
      <c r="G50" s="937">
        <v>0</v>
      </c>
      <c r="H50" s="937">
        <v>0</v>
      </c>
      <c r="I50" s="938" t="s">
        <v>1388</v>
      </c>
      <c r="J50" s="365"/>
    </row>
    <row r="51" spans="1:12" ht="13.2" x14ac:dyDescent="0.25">
      <c r="A51" s="160">
        <f t="shared" si="1"/>
        <v>120</v>
      </c>
      <c r="B51" s="589" t="s">
        <v>1388</v>
      </c>
      <c r="C51" s="936" t="s">
        <v>1388</v>
      </c>
      <c r="D51" s="937">
        <v>0</v>
      </c>
      <c r="E51" s="937">
        <v>0</v>
      </c>
      <c r="F51" s="937">
        <v>0</v>
      </c>
      <c r="G51" s="937">
        <v>0</v>
      </c>
      <c r="H51" s="937">
        <v>0</v>
      </c>
      <c r="I51" s="938" t="s">
        <v>1388</v>
      </c>
      <c r="J51" s="365"/>
    </row>
    <row r="52" spans="1:12" ht="13.2" x14ac:dyDescent="0.25">
      <c r="A52" s="160">
        <f t="shared" si="1"/>
        <v>121</v>
      </c>
      <c r="B52" s="589" t="s">
        <v>1388</v>
      </c>
      <c r="C52" s="936" t="s">
        <v>1388</v>
      </c>
      <c r="D52" s="937">
        <v>0</v>
      </c>
      <c r="E52" s="937">
        <v>0</v>
      </c>
      <c r="F52" s="937">
        <v>0</v>
      </c>
      <c r="G52" s="937">
        <v>0</v>
      </c>
      <c r="H52" s="937">
        <v>0</v>
      </c>
      <c r="I52" s="938" t="s">
        <v>1388</v>
      </c>
      <c r="J52" s="365"/>
    </row>
    <row r="53" spans="1:12" ht="13.2" x14ac:dyDescent="0.25">
      <c r="A53" s="160">
        <f t="shared" si="1"/>
        <v>122</v>
      </c>
      <c r="B53" s="589" t="s">
        <v>1388</v>
      </c>
      <c r="C53" s="936" t="s">
        <v>1388</v>
      </c>
      <c r="D53" s="937">
        <v>0</v>
      </c>
      <c r="E53" s="937">
        <v>0</v>
      </c>
      <c r="F53" s="937">
        <v>0</v>
      </c>
      <c r="G53" s="937">
        <v>0</v>
      </c>
      <c r="H53" s="937">
        <v>0</v>
      </c>
      <c r="I53" s="938" t="s">
        <v>1388</v>
      </c>
      <c r="J53" s="365"/>
    </row>
    <row r="54" spans="1:12" ht="13.2" x14ac:dyDescent="0.25">
      <c r="A54" s="160">
        <f t="shared" si="1"/>
        <v>123</v>
      </c>
      <c r="B54" s="589" t="s">
        <v>1388</v>
      </c>
      <c r="C54" s="936" t="s">
        <v>1388</v>
      </c>
      <c r="D54" s="937">
        <v>0</v>
      </c>
      <c r="E54" s="937">
        <v>0</v>
      </c>
      <c r="F54" s="937">
        <v>0</v>
      </c>
      <c r="G54" s="937">
        <v>0</v>
      </c>
      <c r="H54" s="937">
        <v>0</v>
      </c>
      <c r="I54" s="938" t="s">
        <v>1388</v>
      </c>
      <c r="J54" s="365"/>
      <c r="K54" s="505"/>
      <c r="L54" s="505"/>
    </row>
    <row r="55" spans="1:12" ht="13.2" x14ac:dyDescent="0.25">
      <c r="A55" s="160">
        <f t="shared" si="1"/>
        <v>124</v>
      </c>
      <c r="B55" s="589" t="s">
        <v>1388</v>
      </c>
      <c r="C55" s="936" t="s">
        <v>1388</v>
      </c>
      <c r="D55" s="937">
        <v>0</v>
      </c>
      <c r="E55" s="937">
        <v>0</v>
      </c>
      <c r="F55" s="937">
        <v>0</v>
      </c>
      <c r="G55" s="937">
        <v>0</v>
      </c>
      <c r="H55" s="937">
        <v>0</v>
      </c>
      <c r="I55" s="938" t="s">
        <v>1388</v>
      </c>
      <c r="J55" s="365"/>
      <c r="K55" s="505"/>
      <c r="L55" s="505"/>
    </row>
    <row r="56" spans="1:12" ht="13.2" x14ac:dyDescent="0.25">
      <c r="A56" s="160">
        <f t="shared" si="1"/>
        <v>125</v>
      </c>
      <c r="B56" s="589" t="s">
        <v>1388</v>
      </c>
      <c r="C56" s="936" t="s">
        <v>1388</v>
      </c>
      <c r="D56" s="937">
        <v>0</v>
      </c>
      <c r="E56" s="937">
        <v>0</v>
      </c>
      <c r="F56" s="937">
        <v>0</v>
      </c>
      <c r="G56" s="937">
        <v>0</v>
      </c>
      <c r="H56" s="937">
        <v>0</v>
      </c>
      <c r="I56" s="938" t="s">
        <v>1388</v>
      </c>
      <c r="J56" s="365"/>
      <c r="K56" s="505"/>
      <c r="L56" s="505"/>
    </row>
    <row r="57" spans="1:12" ht="13.2" x14ac:dyDescent="0.25">
      <c r="A57" s="160">
        <f t="shared" si="1"/>
        <v>126</v>
      </c>
      <c r="B57" s="589" t="s">
        <v>1388</v>
      </c>
      <c r="C57" s="936" t="s">
        <v>1388</v>
      </c>
      <c r="D57" s="937">
        <v>0</v>
      </c>
      <c r="E57" s="937">
        <v>0</v>
      </c>
      <c r="F57" s="937">
        <v>0</v>
      </c>
      <c r="G57" s="937">
        <v>0</v>
      </c>
      <c r="H57" s="937">
        <v>0</v>
      </c>
      <c r="I57" s="938" t="s">
        <v>1388</v>
      </c>
      <c r="J57" s="365"/>
      <c r="K57" s="505"/>
      <c r="L57" s="505"/>
    </row>
    <row r="58" spans="1:12" ht="13.2" x14ac:dyDescent="0.25">
      <c r="A58" s="160">
        <f t="shared" si="1"/>
        <v>127</v>
      </c>
      <c r="B58" s="589" t="s">
        <v>1388</v>
      </c>
      <c r="C58" s="936" t="s">
        <v>1388</v>
      </c>
      <c r="D58" s="937">
        <v>0</v>
      </c>
      <c r="E58" s="937">
        <v>0</v>
      </c>
      <c r="F58" s="937">
        <v>0</v>
      </c>
      <c r="G58" s="937">
        <v>0</v>
      </c>
      <c r="H58" s="937">
        <v>0</v>
      </c>
      <c r="I58" s="938" t="s">
        <v>1388</v>
      </c>
      <c r="J58" s="365"/>
      <c r="K58" s="505"/>
      <c r="L58" s="505"/>
    </row>
    <row r="59" spans="1:12" ht="13.2" x14ac:dyDescent="0.25">
      <c r="A59" s="160">
        <f t="shared" si="1"/>
        <v>128</v>
      </c>
      <c r="B59" s="589" t="s">
        <v>1388</v>
      </c>
      <c r="C59" s="936" t="s">
        <v>1388</v>
      </c>
      <c r="D59" s="937">
        <v>0</v>
      </c>
      <c r="E59" s="937">
        <v>0</v>
      </c>
      <c r="F59" s="937">
        <v>0</v>
      </c>
      <c r="G59" s="937">
        <v>0</v>
      </c>
      <c r="H59" s="937">
        <v>0</v>
      </c>
      <c r="I59" s="938" t="s">
        <v>1388</v>
      </c>
      <c r="J59" s="365"/>
      <c r="K59" s="505"/>
      <c r="L59" s="505"/>
    </row>
    <row r="60" spans="1:12" ht="13.2" x14ac:dyDescent="0.25">
      <c r="A60" s="160">
        <f t="shared" si="1"/>
        <v>129</v>
      </c>
      <c r="B60" s="589" t="s">
        <v>1388</v>
      </c>
      <c r="C60" s="936" t="s">
        <v>1388</v>
      </c>
      <c r="D60" s="937">
        <v>0</v>
      </c>
      <c r="E60" s="937">
        <v>0</v>
      </c>
      <c r="F60" s="937">
        <v>0</v>
      </c>
      <c r="G60" s="937">
        <v>0</v>
      </c>
      <c r="H60" s="937">
        <v>0</v>
      </c>
      <c r="I60" s="938" t="s">
        <v>1388</v>
      </c>
      <c r="J60" s="365"/>
      <c r="K60" s="505"/>
      <c r="L60" s="505"/>
    </row>
    <row r="61" spans="1:12" ht="13.2" x14ac:dyDescent="0.25">
      <c r="A61" s="160">
        <f t="shared" si="1"/>
        <v>130</v>
      </c>
      <c r="B61" s="589" t="s">
        <v>1388</v>
      </c>
      <c r="C61" s="936" t="s">
        <v>1388</v>
      </c>
      <c r="D61" s="937">
        <v>0</v>
      </c>
      <c r="E61" s="937">
        <v>0</v>
      </c>
      <c r="F61" s="937">
        <v>0</v>
      </c>
      <c r="G61" s="937">
        <v>0</v>
      </c>
      <c r="H61" s="937">
        <v>0</v>
      </c>
      <c r="I61" s="938" t="s">
        <v>1388</v>
      </c>
      <c r="J61" s="365"/>
      <c r="K61" s="505"/>
      <c r="L61" s="505"/>
    </row>
    <row r="62" spans="1:12" ht="13.2" x14ac:dyDescent="0.25">
      <c r="A62" s="160">
        <f t="shared" si="1"/>
        <v>131</v>
      </c>
      <c r="B62" s="589" t="s">
        <v>1388</v>
      </c>
      <c r="C62" s="936" t="s">
        <v>1388</v>
      </c>
      <c r="D62" s="937">
        <v>0</v>
      </c>
      <c r="E62" s="937">
        <v>0</v>
      </c>
      <c r="F62" s="937">
        <v>0</v>
      </c>
      <c r="G62" s="937">
        <v>0</v>
      </c>
      <c r="H62" s="937">
        <v>0</v>
      </c>
      <c r="I62" s="938" t="s">
        <v>1388</v>
      </c>
      <c r="J62" s="365"/>
      <c r="K62" s="505"/>
      <c r="L62" s="505"/>
    </row>
    <row r="63" spans="1:12" ht="13.2" x14ac:dyDescent="0.25">
      <c r="A63" s="160">
        <f t="shared" si="1"/>
        <v>132</v>
      </c>
      <c r="B63" s="589" t="s">
        <v>1388</v>
      </c>
      <c r="C63" s="936" t="s">
        <v>1388</v>
      </c>
      <c r="D63" s="937">
        <v>0</v>
      </c>
      <c r="E63" s="937">
        <v>0</v>
      </c>
      <c r="F63" s="937">
        <v>0</v>
      </c>
      <c r="G63" s="937">
        <v>0</v>
      </c>
      <c r="H63" s="937">
        <v>0</v>
      </c>
      <c r="I63" s="938" t="s">
        <v>1388</v>
      </c>
      <c r="J63" s="365"/>
      <c r="K63" s="505"/>
      <c r="L63" s="505"/>
    </row>
    <row r="64" spans="1:12" ht="13.2" x14ac:dyDescent="0.25">
      <c r="A64" s="160">
        <f t="shared" si="1"/>
        <v>133</v>
      </c>
      <c r="B64" s="589" t="s">
        <v>1388</v>
      </c>
      <c r="C64" s="936" t="s">
        <v>1388</v>
      </c>
      <c r="D64" s="937">
        <v>0</v>
      </c>
      <c r="E64" s="937">
        <v>0</v>
      </c>
      <c r="F64" s="937">
        <v>0</v>
      </c>
      <c r="G64" s="937">
        <v>0</v>
      </c>
      <c r="H64" s="937">
        <v>0</v>
      </c>
      <c r="I64" s="938" t="s">
        <v>1388</v>
      </c>
      <c r="J64" s="365"/>
      <c r="K64" s="505"/>
      <c r="L64" s="505"/>
    </row>
    <row r="65" spans="1:12" ht="13.2" x14ac:dyDescent="0.25">
      <c r="A65" s="160">
        <f t="shared" si="1"/>
        <v>134</v>
      </c>
      <c r="B65" s="589" t="s">
        <v>1388</v>
      </c>
      <c r="C65" s="936" t="s">
        <v>1388</v>
      </c>
      <c r="D65" s="937">
        <v>0</v>
      </c>
      <c r="E65" s="937">
        <v>0</v>
      </c>
      <c r="F65" s="937">
        <v>0</v>
      </c>
      <c r="G65" s="937">
        <v>0</v>
      </c>
      <c r="H65" s="937">
        <v>0</v>
      </c>
      <c r="I65" s="938" t="s">
        <v>1388</v>
      </c>
      <c r="J65" s="365"/>
      <c r="K65" s="505"/>
      <c r="L65" s="505"/>
    </row>
    <row r="66" spans="1:12" ht="13.2" x14ac:dyDescent="0.25">
      <c r="A66" s="160">
        <f t="shared" si="1"/>
        <v>135</v>
      </c>
      <c r="B66" s="589" t="s">
        <v>1388</v>
      </c>
      <c r="C66" s="936" t="s">
        <v>1388</v>
      </c>
      <c r="D66" s="937">
        <v>0</v>
      </c>
      <c r="E66" s="937">
        <v>0</v>
      </c>
      <c r="F66" s="937">
        <v>0</v>
      </c>
      <c r="G66" s="937">
        <v>0</v>
      </c>
      <c r="H66" s="937">
        <v>0</v>
      </c>
      <c r="I66" s="938" t="s">
        <v>1388</v>
      </c>
      <c r="J66" s="365"/>
      <c r="K66" s="505"/>
      <c r="L66" s="505"/>
    </row>
    <row r="67" spans="1:12" ht="13.2" x14ac:dyDescent="0.25">
      <c r="A67" s="160">
        <f t="shared" si="1"/>
        <v>136</v>
      </c>
      <c r="B67" s="589" t="s">
        <v>1388</v>
      </c>
      <c r="C67" s="936" t="s">
        <v>1388</v>
      </c>
      <c r="D67" s="937">
        <v>0</v>
      </c>
      <c r="E67" s="937">
        <v>0</v>
      </c>
      <c r="F67" s="937">
        <v>0</v>
      </c>
      <c r="G67" s="937">
        <v>0</v>
      </c>
      <c r="H67" s="937">
        <v>0</v>
      </c>
      <c r="I67" s="938" t="s">
        <v>1388</v>
      </c>
      <c r="J67" s="365"/>
      <c r="K67" s="505"/>
      <c r="L67" s="505"/>
    </row>
    <row r="68" spans="1:12" ht="13.2" x14ac:dyDescent="0.25">
      <c r="A68" s="160">
        <f t="shared" si="1"/>
        <v>137</v>
      </c>
      <c r="B68" s="589" t="s">
        <v>1388</v>
      </c>
      <c r="C68" s="936" t="s">
        <v>1388</v>
      </c>
      <c r="D68" s="937">
        <v>0</v>
      </c>
      <c r="E68" s="937">
        <v>0</v>
      </c>
      <c r="F68" s="937">
        <v>0</v>
      </c>
      <c r="G68" s="937">
        <v>0</v>
      </c>
      <c r="H68" s="937">
        <v>0</v>
      </c>
      <c r="I68" s="938" t="s">
        <v>1388</v>
      </c>
      <c r="J68" s="365"/>
      <c r="K68" s="505"/>
      <c r="L68" s="505"/>
    </row>
    <row r="69" spans="1:12" ht="13.2" x14ac:dyDescent="0.25">
      <c r="A69" s="160">
        <f t="shared" si="1"/>
        <v>138</v>
      </c>
      <c r="B69" s="589" t="s">
        <v>1388</v>
      </c>
      <c r="C69" s="936" t="s">
        <v>1388</v>
      </c>
      <c r="D69" s="937">
        <v>0</v>
      </c>
      <c r="E69" s="937">
        <v>0</v>
      </c>
      <c r="F69" s="937">
        <v>0</v>
      </c>
      <c r="G69" s="937">
        <v>0</v>
      </c>
      <c r="H69" s="937">
        <v>0</v>
      </c>
      <c r="I69" s="938" t="s">
        <v>1388</v>
      </c>
      <c r="J69" s="365"/>
      <c r="K69" s="505"/>
      <c r="L69" s="505"/>
    </row>
    <row r="70" spans="1:12" ht="13.2" x14ac:dyDescent="0.25">
      <c r="A70" s="160">
        <f t="shared" si="1"/>
        <v>139</v>
      </c>
      <c r="B70" s="589" t="s">
        <v>1388</v>
      </c>
      <c r="C70" s="936" t="s">
        <v>1388</v>
      </c>
      <c r="D70" s="937">
        <v>0</v>
      </c>
      <c r="E70" s="937">
        <v>0</v>
      </c>
      <c r="F70" s="937">
        <v>0</v>
      </c>
      <c r="G70" s="937">
        <v>0</v>
      </c>
      <c r="H70" s="937">
        <v>0</v>
      </c>
      <c r="I70" s="938" t="s">
        <v>1388</v>
      </c>
      <c r="J70" s="698"/>
      <c r="K70" s="505"/>
      <c r="L70" s="505"/>
    </row>
    <row r="71" spans="1:12" ht="13.2" x14ac:dyDescent="0.25">
      <c r="A71" s="160">
        <f t="shared" si="1"/>
        <v>140</v>
      </c>
      <c r="B71" s="589" t="s">
        <v>1388</v>
      </c>
      <c r="C71" s="936" t="s">
        <v>1388</v>
      </c>
      <c r="D71" s="937">
        <v>0</v>
      </c>
      <c r="E71" s="937">
        <v>0</v>
      </c>
      <c r="F71" s="937">
        <v>0</v>
      </c>
      <c r="G71" s="937">
        <v>0</v>
      </c>
      <c r="H71" s="937">
        <v>0</v>
      </c>
      <c r="I71" s="938" t="s">
        <v>1388</v>
      </c>
      <c r="J71" s="365"/>
      <c r="K71" s="505"/>
      <c r="L71" s="505"/>
    </row>
    <row r="72" spans="1:12" ht="13.2" x14ac:dyDescent="0.25">
      <c r="A72" s="160">
        <f t="shared" si="1"/>
        <v>141</v>
      </c>
      <c r="B72" s="589" t="s">
        <v>1388</v>
      </c>
      <c r="C72" s="936" t="s">
        <v>1388</v>
      </c>
      <c r="D72" s="937">
        <v>0</v>
      </c>
      <c r="E72" s="937">
        <v>0</v>
      </c>
      <c r="F72" s="937">
        <v>0</v>
      </c>
      <c r="G72" s="937">
        <v>0</v>
      </c>
      <c r="H72" s="937">
        <v>0</v>
      </c>
      <c r="I72" s="938" t="s">
        <v>1388</v>
      </c>
      <c r="J72" s="365"/>
      <c r="K72" s="505"/>
      <c r="L72" s="505"/>
    </row>
    <row r="73" spans="1:12" ht="13.2" x14ac:dyDescent="0.25">
      <c r="A73" s="94"/>
      <c r="B73" s="586"/>
      <c r="C73" s="587"/>
      <c r="D73" s="588"/>
      <c r="E73" s="206"/>
      <c r="F73" s="206"/>
      <c r="G73" s="206"/>
      <c r="H73" s="206"/>
      <c r="I73" s="208"/>
      <c r="J73" s="208"/>
      <c r="K73" s="505"/>
      <c r="L73" s="505"/>
    </row>
    <row r="74" spans="1:12" ht="13.2" x14ac:dyDescent="0.25">
      <c r="A74" s="94"/>
      <c r="B74" s="576" t="s">
        <v>1582</v>
      </c>
      <c r="C74" s="579"/>
      <c r="D74" s="582"/>
      <c r="E74" s="202"/>
      <c r="F74" s="202"/>
      <c r="G74" s="202"/>
      <c r="H74" s="202"/>
      <c r="I74" s="202"/>
      <c r="J74" s="208"/>
      <c r="K74" s="505"/>
      <c r="L74" s="505"/>
    </row>
    <row r="75" spans="1:12" ht="13.2" x14ac:dyDescent="0.25">
      <c r="A75" s="94"/>
      <c r="B75" s="576"/>
      <c r="C75" s="76" t="s">
        <v>363</v>
      </c>
      <c r="D75" s="76" t="s">
        <v>347</v>
      </c>
      <c r="E75" s="76" t="s">
        <v>348</v>
      </c>
      <c r="F75" s="76" t="s">
        <v>349</v>
      </c>
      <c r="G75" s="76" t="s">
        <v>350</v>
      </c>
      <c r="H75" s="76" t="s">
        <v>351</v>
      </c>
      <c r="I75" s="76" t="s">
        <v>352</v>
      </c>
      <c r="J75" s="208"/>
      <c r="K75" s="505"/>
      <c r="L75" s="505"/>
    </row>
    <row r="76" spans="1:12" ht="13.2" x14ac:dyDescent="0.25">
      <c r="A76" s="94"/>
      <c r="B76" s="580"/>
      <c r="C76" s="580"/>
      <c r="D76" s="580" t="s">
        <v>1572</v>
      </c>
      <c r="E76" s="580" t="s">
        <v>1573</v>
      </c>
      <c r="F76" s="580"/>
      <c r="G76" s="580"/>
      <c r="H76" s="580"/>
      <c r="I76" s="899" t="s">
        <v>1899</v>
      </c>
      <c r="J76" s="208"/>
      <c r="K76" s="505"/>
      <c r="L76" s="505"/>
    </row>
    <row r="77" spans="1:12" ht="13.2" x14ac:dyDescent="0.25">
      <c r="A77" s="94"/>
      <c r="B77" s="583" t="s">
        <v>1574</v>
      </c>
      <c r="C77" s="583" t="s">
        <v>1575</v>
      </c>
      <c r="D77" s="583" t="s">
        <v>1576</v>
      </c>
      <c r="E77" s="583" t="s">
        <v>1577</v>
      </c>
      <c r="F77" s="583" t="s">
        <v>1578</v>
      </c>
      <c r="G77" s="583" t="s">
        <v>1579</v>
      </c>
      <c r="H77" s="583" t="s">
        <v>1580</v>
      </c>
      <c r="I77" s="583" t="s">
        <v>101</v>
      </c>
      <c r="J77" s="208"/>
      <c r="K77" s="505"/>
      <c r="L77" s="505"/>
    </row>
    <row r="78" spans="1:12" ht="13.2" x14ac:dyDescent="0.25">
      <c r="A78" s="94"/>
      <c r="B78" s="577" t="s">
        <v>1581</v>
      </c>
      <c r="C78" s="577"/>
      <c r="D78" s="577"/>
      <c r="E78" s="202"/>
      <c r="F78" s="202"/>
      <c r="G78" s="202"/>
      <c r="H78" s="202"/>
      <c r="I78" s="202"/>
      <c r="J78" s="208"/>
      <c r="K78" s="505"/>
      <c r="L78" s="505"/>
    </row>
    <row r="79" spans="1:12" ht="13.2" x14ac:dyDescent="0.25">
      <c r="A79" s="160">
        <f>A72+1</f>
        <v>142</v>
      </c>
      <c r="B79" s="589" t="s">
        <v>1388</v>
      </c>
      <c r="C79" s="936" t="s">
        <v>1388</v>
      </c>
      <c r="D79" s="937">
        <v>0</v>
      </c>
      <c r="E79" s="937">
        <v>0</v>
      </c>
      <c r="F79" s="937">
        <v>0</v>
      </c>
      <c r="G79" s="937">
        <v>0</v>
      </c>
      <c r="H79" s="937">
        <v>0</v>
      </c>
      <c r="I79" s="938" t="s">
        <v>1388</v>
      </c>
      <c r="J79" s="365"/>
      <c r="K79" s="505"/>
      <c r="L79" s="505"/>
    </row>
    <row r="80" spans="1:12" ht="13.2" x14ac:dyDescent="0.25">
      <c r="A80" s="160">
        <f t="shared" si="1"/>
        <v>143</v>
      </c>
      <c r="B80" s="589" t="s">
        <v>1388</v>
      </c>
      <c r="C80" s="936" t="s">
        <v>1388</v>
      </c>
      <c r="D80" s="937">
        <v>0</v>
      </c>
      <c r="E80" s="937">
        <v>0</v>
      </c>
      <c r="F80" s="937">
        <v>0</v>
      </c>
      <c r="G80" s="937">
        <v>0</v>
      </c>
      <c r="H80" s="937">
        <v>0</v>
      </c>
      <c r="I80" s="938" t="s">
        <v>1388</v>
      </c>
      <c r="J80" s="365"/>
      <c r="K80" s="505"/>
      <c r="L80" s="505"/>
    </row>
    <row r="81" spans="1:12" ht="13.2" x14ac:dyDescent="0.25">
      <c r="A81" s="160">
        <f t="shared" si="1"/>
        <v>144</v>
      </c>
      <c r="B81" s="589" t="s">
        <v>1388</v>
      </c>
      <c r="C81" s="936" t="s">
        <v>1388</v>
      </c>
      <c r="D81" s="937">
        <v>0</v>
      </c>
      <c r="E81" s="937">
        <v>0</v>
      </c>
      <c r="F81" s="937">
        <v>0</v>
      </c>
      <c r="G81" s="937">
        <v>0</v>
      </c>
      <c r="H81" s="937">
        <v>0</v>
      </c>
      <c r="I81" s="938" t="s">
        <v>1388</v>
      </c>
      <c r="J81" s="365"/>
      <c r="K81" s="505"/>
      <c r="L81" s="505"/>
    </row>
    <row r="82" spans="1:12" ht="13.2" x14ac:dyDescent="0.25">
      <c r="A82" s="160">
        <f t="shared" si="1"/>
        <v>145</v>
      </c>
      <c r="B82" s="589" t="s">
        <v>1388</v>
      </c>
      <c r="C82" s="936" t="s">
        <v>1388</v>
      </c>
      <c r="D82" s="937">
        <v>0</v>
      </c>
      <c r="E82" s="937">
        <v>0</v>
      </c>
      <c r="F82" s="937">
        <v>0</v>
      </c>
      <c r="G82" s="937">
        <v>0</v>
      </c>
      <c r="H82" s="937">
        <v>0</v>
      </c>
      <c r="I82" s="938" t="s">
        <v>1388</v>
      </c>
      <c r="J82" s="365"/>
      <c r="K82" s="505"/>
      <c r="L82" s="505"/>
    </row>
    <row r="83" spans="1:12" ht="13.2" x14ac:dyDescent="0.25">
      <c r="A83" s="160">
        <f t="shared" si="1"/>
        <v>146</v>
      </c>
      <c r="B83" s="589" t="s">
        <v>1388</v>
      </c>
      <c r="C83" s="936" t="s">
        <v>1388</v>
      </c>
      <c r="D83" s="937">
        <v>0</v>
      </c>
      <c r="E83" s="937">
        <v>0</v>
      </c>
      <c r="F83" s="937">
        <v>0</v>
      </c>
      <c r="G83" s="937">
        <v>0</v>
      </c>
      <c r="H83" s="937">
        <v>0</v>
      </c>
      <c r="I83" s="938" t="s">
        <v>1388</v>
      </c>
      <c r="J83" s="365"/>
      <c r="K83" s="505"/>
      <c r="L83" s="505"/>
    </row>
    <row r="84" spans="1:12" ht="13.2" x14ac:dyDescent="0.25">
      <c r="A84" s="160">
        <f t="shared" si="1"/>
        <v>147</v>
      </c>
      <c r="B84" s="589" t="s">
        <v>1388</v>
      </c>
      <c r="C84" s="936" t="s">
        <v>1388</v>
      </c>
      <c r="D84" s="937">
        <v>0</v>
      </c>
      <c r="E84" s="937">
        <v>0</v>
      </c>
      <c r="F84" s="937">
        <v>0</v>
      </c>
      <c r="G84" s="937">
        <v>0</v>
      </c>
      <c r="H84" s="937">
        <v>0</v>
      </c>
      <c r="I84" s="938" t="s">
        <v>1388</v>
      </c>
      <c r="J84" s="365"/>
      <c r="K84" s="505"/>
      <c r="L84" s="505"/>
    </row>
    <row r="85" spans="1:12" ht="13.2" x14ac:dyDescent="0.25">
      <c r="A85" s="160">
        <f t="shared" si="1"/>
        <v>148</v>
      </c>
      <c r="B85" s="589" t="s">
        <v>1388</v>
      </c>
      <c r="C85" s="936" t="s">
        <v>1388</v>
      </c>
      <c r="D85" s="937">
        <v>0</v>
      </c>
      <c r="E85" s="937">
        <v>0</v>
      </c>
      <c r="F85" s="937">
        <v>0</v>
      </c>
      <c r="G85" s="937">
        <v>0</v>
      </c>
      <c r="H85" s="937">
        <v>0</v>
      </c>
      <c r="I85" s="938" t="s">
        <v>1388</v>
      </c>
      <c r="J85" s="365"/>
      <c r="K85" s="505"/>
      <c r="L85" s="505"/>
    </row>
    <row r="86" spans="1:12" ht="13.2" x14ac:dyDescent="0.25">
      <c r="A86" s="160">
        <f t="shared" si="1"/>
        <v>149</v>
      </c>
      <c r="B86" s="589" t="s">
        <v>1388</v>
      </c>
      <c r="C86" s="936" t="s">
        <v>1388</v>
      </c>
      <c r="D86" s="937">
        <v>0</v>
      </c>
      <c r="E86" s="937">
        <v>0</v>
      </c>
      <c r="F86" s="937">
        <v>0</v>
      </c>
      <c r="G86" s="937">
        <v>0</v>
      </c>
      <c r="H86" s="937">
        <v>0</v>
      </c>
      <c r="I86" s="938" t="s">
        <v>1388</v>
      </c>
      <c r="J86" s="365"/>
      <c r="K86" s="505"/>
      <c r="L86" s="505"/>
    </row>
    <row r="87" spans="1:12" ht="13.2" x14ac:dyDescent="0.25">
      <c r="A87" s="160">
        <f t="shared" si="1"/>
        <v>150</v>
      </c>
      <c r="B87" s="589" t="s">
        <v>1388</v>
      </c>
      <c r="C87" s="936" t="s">
        <v>1388</v>
      </c>
      <c r="D87" s="937">
        <v>0</v>
      </c>
      <c r="E87" s="937">
        <v>0</v>
      </c>
      <c r="F87" s="937">
        <v>0</v>
      </c>
      <c r="G87" s="937">
        <v>0</v>
      </c>
      <c r="H87" s="937">
        <v>0</v>
      </c>
      <c r="I87" s="938" t="s">
        <v>1388</v>
      </c>
      <c r="J87" s="365"/>
      <c r="K87" s="505"/>
      <c r="L87" s="505"/>
    </row>
    <row r="88" spans="1:12" ht="13.2" x14ac:dyDescent="0.25">
      <c r="A88" s="160">
        <f t="shared" si="1"/>
        <v>151</v>
      </c>
      <c r="B88" s="589" t="s">
        <v>1388</v>
      </c>
      <c r="C88" s="936" t="s">
        <v>1388</v>
      </c>
      <c r="D88" s="937">
        <v>0</v>
      </c>
      <c r="E88" s="937">
        <v>0</v>
      </c>
      <c r="F88" s="937">
        <v>0</v>
      </c>
      <c r="G88" s="937">
        <v>0</v>
      </c>
      <c r="H88" s="937">
        <v>0</v>
      </c>
      <c r="I88" s="938" t="s">
        <v>1388</v>
      </c>
      <c r="J88" s="365"/>
      <c r="K88" s="505"/>
      <c r="L88" s="505"/>
    </row>
    <row r="89" spans="1:12" ht="13.2" x14ac:dyDescent="0.25">
      <c r="A89" s="160">
        <f t="shared" si="1"/>
        <v>152</v>
      </c>
      <c r="B89" s="589" t="s">
        <v>1388</v>
      </c>
      <c r="C89" s="936" t="s">
        <v>1388</v>
      </c>
      <c r="D89" s="937">
        <v>0</v>
      </c>
      <c r="E89" s="937">
        <v>0</v>
      </c>
      <c r="F89" s="937">
        <v>0</v>
      </c>
      <c r="G89" s="937">
        <v>0</v>
      </c>
      <c r="H89" s="937">
        <v>0</v>
      </c>
      <c r="I89" s="938" t="s">
        <v>1388</v>
      </c>
      <c r="J89" s="365"/>
      <c r="K89" s="505"/>
      <c r="L89" s="505"/>
    </row>
    <row r="90" spans="1:12" ht="13.2" x14ac:dyDescent="0.25">
      <c r="A90" s="160">
        <f t="shared" si="1"/>
        <v>153</v>
      </c>
      <c r="B90" s="589" t="s">
        <v>1388</v>
      </c>
      <c r="C90" s="936" t="s">
        <v>1388</v>
      </c>
      <c r="D90" s="937">
        <v>0</v>
      </c>
      <c r="E90" s="937">
        <v>0</v>
      </c>
      <c r="F90" s="937">
        <v>0</v>
      </c>
      <c r="G90" s="937">
        <v>0</v>
      </c>
      <c r="H90" s="937">
        <v>0</v>
      </c>
      <c r="I90" s="938" t="s">
        <v>1388</v>
      </c>
      <c r="J90" s="365"/>
      <c r="K90" s="505"/>
      <c r="L90" s="505"/>
    </row>
    <row r="91" spans="1:12" ht="13.2" x14ac:dyDescent="0.25">
      <c r="A91" s="160">
        <f t="shared" si="1"/>
        <v>154</v>
      </c>
      <c r="B91" s="589" t="s">
        <v>1388</v>
      </c>
      <c r="C91" s="936" t="s">
        <v>1388</v>
      </c>
      <c r="D91" s="937">
        <v>0</v>
      </c>
      <c r="E91" s="937">
        <v>0</v>
      </c>
      <c r="F91" s="937">
        <v>0</v>
      </c>
      <c r="G91" s="937">
        <v>0</v>
      </c>
      <c r="H91" s="937">
        <v>0</v>
      </c>
      <c r="I91" s="938" t="s">
        <v>1388</v>
      </c>
      <c r="J91" s="365"/>
      <c r="K91" s="505"/>
      <c r="L91" s="505"/>
    </row>
    <row r="92" spans="1:12" ht="13.2" x14ac:dyDescent="0.25">
      <c r="A92" s="160">
        <f t="shared" si="1"/>
        <v>155</v>
      </c>
      <c r="B92" s="589" t="s">
        <v>1388</v>
      </c>
      <c r="C92" s="936" t="s">
        <v>1388</v>
      </c>
      <c r="D92" s="937">
        <v>0</v>
      </c>
      <c r="E92" s="937">
        <v>0</v>
      </c>
      <c r="F92" s="937">
        <v>0</v>
      </c>
      <c r="G92" s="937">
        <v>0</v>
      </c>
      <c r="H92" s="937">
        <v>0</v>
      </c>
      <c r="I92" s="938" t="s">
        <v>1388</v>
      </c>
      <c r="J92" s="365"/>
      <c r="K92" s="505"/>
      <c r="L92" s="505"/>
    </row>
    <row r="93" spans="1:12" ht="13.2" x14ac:dyDescent="0.25">
      <c r="A93" s="160">
        <f t="shared" si="1"/>
        <v>156</v>
      </c>
      <c r="B93" s="589" t="s">
        <v>1388</v>
      </c>
      <c r="C93" s="936" t="s">
        <v>1388</v>
      </c>
      <c r="D93" s="937">
        <v>0</v>
      </c>
      <c r="E93" s="937">
        <v>0</v>
      </c>
      <c r="F93" s="937">
        <v>0</v>
      </c>
      <c r="G93" s="937">
        <v>0</v>
      </c>
      <c r="H93" s="937">
        <v>0</v>
      </c>
      <c r="I93" s="938" t="s">
        <v>1388</v>
      </c>
      <c r="J93" s="365"/>
      <c r="K93" s="505"/>
      <c r="L93" s="505"/>
    </row>
    <row r="94" spans="1:12" ht="13.2" x14ac:dyDescent="0.25">
      <c r="A94" s="160">
        <f t="shared" si="1"/>
        <v>157</v>
      </c>
      <c r="B94" s="589" t="s">
        <v>1388</v>
      </c>
      <c r="C94" s="936" t="s">
        <v>1388</v>
      </c>
      <c r="D94" s="937">
        <v>0</v>
      </c>
      <c r="E94" s="937">
        <v>0</v>
      </c>
      <c r="F94" s="937">
        <v>0</v>
      </c>
      <c r="G94" s="937">
        <v>0</v>
      </c>
      <c r="H94" s="937">
        <v>0</v>
      </c>
      <c r="I94" s="938" t="s">
        <v>1388</v>
      </c>
      <c r="J94" s="698"/>
      <c r="K94" s="505"/>
      <c r="L94" s="505"/>
    </row>
    <row r="95" spans="1:12" ht="13.2" x14ac:dyDescent="0.25">
      <c r="A95" s="160">
        <f t="shared" si="1"/>
        <v>158</v>
      </c>
      <c r="B95" s="589" t="s">
        <v>1388</v>
      </c>
      <c r="C95" s="936" t="s">
        <v>1388</v>
      </c>
      <c r="D95" s="937">
        <v>0</v>
      </c>
      <c r="E95" s="937">
        <v>0</v>
      </c>
      <c r="F95" s="937">
        <v>0</v>
      </c>
      <c r="G95" s="937">
        <v>0</v>
      </c>
      <c r="H95" s="937">
        <v>0</v>
      </c>
      <c r="I95" s="938" t="s">
        <v>1388</v>
      </c>
      <c r="J95" s="365"/>
      <c r="K95" s="505"/>
      <c r="L95" s="505"/>
    </row>
    <row r="96" spans="1:12" ht="13.2" x14ac:dyDescent="0.25">
      <c r="A96" s="160">
        <f t="shared" ref="A96:A132" si="2">A95+1</f>
        <v>159</v>
      </c>
      <c r="B96" s="589" t="s">
        <v>1388</v>
      </c>
      <c r="C96" s="936" t="s">
        <v>1388</v>
      </c>
      <c r="D96" s="937">
        <v>0</v>
      </c>
      <c r="E96" s="937">
        <v>0</v>
      </c>
      <c r="F96" s="937">
        <v>0</v>
      </c>
      <c r="G96" s="937">
        <v>0</v>
      </c>
      <c r="H96" s="937">
        <v>0</v>
      </c>
      <c r="I96" s="938" t="s">
        <v>1388</v>
      </c>
      <c r="J96" s="365"/>
      <c r="K96" s="505"/>
      <c r="L96" s="505"/>
    </row>
    <row r="97" spans="1:12" ht="13.2" x14ac:dyDescent="0.25">
      <c r="A97" s="160">
        <f t="shared" si="2"/>
        <v>160</v>
      </c>
      <c r="B97" s="589" t="s">
        <v>1388</v>
      </c>
      <c r="C97" s="936" t="s">
        <v>1388</v>
      </c>
      <c r="D97" s="937">
        <v>0</v>
      </c>
      <c r="E97" s="937">
        <v>0</v>
      </c>
      <c r="F97" s="937">
        <v>0</v>
      </c>
      <c r="G97" s="937">
        <v>0</v>
      </c>
      <c r="H97" s="937">
        <v>0</v>
      </c>
      <c r="I97" s="938" t="s">
        <v>1388</v>
      </c>
      <c r="J97" s="365"/>
      <c r="K97" s="505"/>
      <c r="L97" s="505"/>
    </row>
    <row r="98" spans="1:12" ht="13.2" x14ac:dyDescent="0.25">
      <c r="A98" s="160">
        <f t="shared" si="2"/>
        <v>161</v>
      </c>
      <c r="B98" s="589" t="s">
        <v>1388</v>
      </c>
      <c r="C98" s="936" t="s">
        <v>1388</v>
      </c>
      <c r="D98" s="937">
        <v>0</v>
      </c>
      <c r="E98" s="937">
        <v>0</v>
      </c>
      <c r="F98" s="937">
        <v>0</v>
      </c>
      <c r="G98" s="937">
        <v>0</v>
      </c>
      <c r="H98" s="937">
        <v>0</v>
      </c>
      <c r="I98" s="938" t="s">
        <v>1388</v>
      </c>
      <c r="J98" s="365"/>
      <c r="K98" s="505"/>
      <c r="L98" s="505"/>
    </row>
    <row r="99" spans="1:12" ht="13.2" x14ac:dyDescent="0.25">
      <c r="A99" s="160">
        <f t="shared" si="2"/>
        <v>162</v>
      </c>
      <c r="B99" s="589" t="s">
        <v>1388</v>
      </c>
      <c r="C99" s="936" t="s">
        <v>1388</v>
      </c>
      <c r="D99" s="937">
        <v>0</v>
      </c>
      <c r="E99" s="937">
        <v>0</v>
      </c>
      <c r="F99" s="937">
        <v>0</v>
      </c>
      <c r="G99" s="937">
        <v>0</v>
      </c>
      <c r="H99" s="937">
        <v>0</v>
      </c>
      <c r="I99" s="938" t="s">
        <v>1388</v>
      </c>
      <c r="J99" s="365"/>
      <c r="K99" s="505"/>
      <c r="L99" s="505"/>
    </row>
    <row r="100" spans="1:12" ht="13.2" x14ac:dyDescent="0.25">
      <c r="A100" s="160">
        <f t="shared" si="2"/>
        <v>163</v>
      </c>
      <c r="B100" s="589" t="s">
        <v>1388</v>
      </c>
      <c r="C100" s="936" t="s">
        <v>1388</v>
      </c>
      <c r="D100" s="937">
        <v>0</v>
      </c>
      <c r="E100" s="937">
        <v>0</v>
      </c>
      <c r="F100" s="937">
        <v>0</v>
      </c>
      <c r="G100" s="937">
        <v>0</v>
      </c>
      <c r="H100" s="937">
        <v>0</v>
      </c>
      <c r="I100" s="938" t="s">
        <v>1388</v>
      </c>
      <c r="J100" s="365"/>
      <c r="K100" s="505"/>
      <c r="L100" s="505"/>
    </row>
    <row r="101" spans="1:12" ht="13.2" x14ac:dyDescent="0.25">
      <c r="A101" s="160">
        <f t="shared" si="2"/>
        <v>164</v>
      </c>
      <c r="B101" s="589" t="s">
        <v>1388</v>
      </c>
      <c r="C101" s="936" t="s">
        <v>1388</v>
      </c>
      <c r="D101" s="937">
        <v>0</v>
      </c>
      <c r="E101" s="937">
        <v>0</v>
      </c>
      <c r="F101" s="937">
        <v>0</v>
      </c>
      <c r="G101" s="937">
        <v>0</v>
      </c>
      <c r="H101" s="937">
        <v>0</v>
      </c>
      <c r="I101" s="938" t="s">
        <v>1388</v>
      </c>
      <c r="J101" s="365"/>
      <c r="K101" s="505"/>
      <c r="L101" s="505"/>
    </row>
    <row r="102" spans="1:12" ht="13.2" x14ac:dyDescent="0.25">
      <c r="A102" s="160">
        <f t="shared" si="2"/>
        <v>165</v>
      </c>
      <c r="B102" s="589" t="s">
        <v>1388</v>
      </c>
      <c r="C102" s="936" t="s">
        <v>1388</v>
      </c>
      <c r="D102" s="937">
        <v>0</v>
      </c>
      <c r="E102" s="937">
        <v>0</v>
      </c>
      <c r="F102" s="937">
        <v>0</v>
      </c>
      <c r="G102" s="937">
        <v>0</v>
      </c>
      <c r="H102" s="937">
        <v>0</v>
      </c>
      <c r="I102" s="938" t="s">
        <v>1388</v>
      </c>
      <c r="J102" s="365"/>
      <c r="K102" s="505"/>
      <c r="L102" s="505"/>
    </row>
    <row r="103" spans="1:12" ht="13.2" x14ac:dyDescent="0.25">
      <c r="A103" s="160">
        <f t="shared" si="2"/>
        <v>166</v>
      </c>
      <c r="B103" s="589" t="s">
        <v>1388</v>
      </c>
      <c r="C103" s="936" t="s">
        <v>1388</v>
      </c>
      <c r="D103" s="937">
        <v>0</v>
      </c>
      <c r="E103" s="937">
        <v>0</v>
      </c>
      <c r="F103" s="937">
        <v>0</v>
      </c>
      <c r="G103" s="937">
        <v>0</v>
      </c>
      <c r="H103" s="937">
        <v>0</v>
      </c>
      <c r="I103" s="938" t="s">
        <v>1388</v>
      </c>
      <c r="J103" s="365"/>
      <c r="K103" s="505"/>
      <c r="L103" s="505"/>
    </row>
    <row r="104" spans="1:12" ht="13.2" x14ac:dyDescent="0.25">
      <c r="A104" s="160">
        <f t="shared" si="2"/>
        <v>167</v>
      </c>
      <c r="B104" s="589" t="s">
        <v>1388</v>
      </c>
      <c r="C104" s="936" t="s">
        <v>1388</v>
      </c>
      <c r="D104" s="937">
        <v>0</v>
      </c>
      <c r="E104" s="937">
        <v>0</v>
      </c>
      <c r="F104" s="937">
        <v>0</v>
      </c>
      <c r="G104" s="937">
        <v>0</v>
      </c>
      <c r="H104" s="937">
        <v>0</v>
      </c>
      <c r="I104" s="938" t="s">
        <v>1388</v>
      </c>
      <c r="J104" s="365"/>
      <c r="K104" s="505"/>
      <c r="L104" s="505"/>
    </row>
    <row r="105" spans="1:12" ht="13.2" x14ac:dyDescent="0.25">
      <c r="A105" s="160">
        <f t="shared" si="2"/>
        <v>168</v>
      </c>
      <c r="B105" s="589" t="s">
        <v>1388</v>
      </c>
      <c r="C105" s="936" t="s">
        <v>1388</v>
      </c>
      <c r="D105" s="937">
        <v>0</v>
      </c>
      <c r="E105" s="937">
        <v>0</v>
      </c>
      <c r="F105" s="937">
        <v>0</v>
      </c>
      <c r="G105" s="937">
        <v>0</v>
      </c>
      <c r="H105" s="937">
        <v>0</v>
      </c>
      <c r="I105" s="938" t="s">
        <v>1388</v>
      </c>
      <c r="J105" s="365"/>
      <c r="K105" s="505"/>
      <c r="L105" s="505"/>
    </row>
    <row r="106" spans="1:12" ht="13.2" x14ac:dyDescent="0.25">
      <c r="A106" s="160">
        <f t="shared" si="2"/>
        <v>169</v>
      </c>
      <c r="B106" s="589" t="s">
        <v>1388</v>
      </c>
      <c r="C106" s="936" t="s">
        <v>1388</v>
      </c>
      <c r="D106" s="937">
        <v>0</v>
      </c>
      <c r="E106" s="937">
        <v>0</v>
      </c>
      <c r="F106" s="937">
        <v>0</v>
      </c>
      <c r="G106" s="937">
        <v>0</v>
      </c>
      <c r="H106" s="937">
        <v>0</v>
      </c>
      <c r="I106" s="938" t="s">
        <v>1388</v>
      </c>
      <c r="J106" s="365"/>
      <c r="K106" s="505"/>
      <c r="L106" s="505"/>
    </row>
    <row r="107" spans="1:12" ht="13.2" x14ac:dyDescent="0.25">
      <c r="A107" s="160">
        <f t="shared" si="2"/>
        <v>170</v>
      </c>
      <c r="B107" s="589" t="s">
        <v>1388</v>
      </c>
      <c r="C107" s="936" t="s">
        <v>1388</v>
      </c>
      <c r="D107" s="937">
        <v>0</v>
      </c>
      <c r="E107" s="937">
        <v>0</v>
      </c>
      <c r="F107" s="937">
        <v>0</v>
      </c>
      <c r="G107" s="937">
        <v>0</v>
      </c>
      <c r="H107" s="937">
        <v>0</v>
      </c>
      <c r="I107" s="938" t="s">
        <v>1388</v>
      </c>
      <c r="J107" s="365"/>
      <c r="K107" s="505"/>
      <c r="L107" s="505"/>
    </row>
    <row r="108" spans="1:12" ht="13.2" x14ac:dyDescent="0.25">
      <c r="A108" s="160">
        <f t="shared" si="2"/>
        <v>171</v>
      </c>
      <c r="B108" s="589" t="s">
        <v>1388</v>
      </c>
      <c r="C108" s="936" t="s">
        <v>1388</v>
      </c>
      <c r="D108" s="937">
        <v>0</v>
      </c>
      <c r="E108" s="937">
        <v>0</v>
      </c>
      <c r="F108" s="937">
        <v>0</v>
      </c>
      <c r="G108" s="937">
        <v>0</v>
      </c>
      <c r="H108" s="937">
        <v>0</v>
      </c>
      <c r="I108" s="938" t="s">
        <v>1388</v>
      </c>
      <c r="J108" s="365"/>
      <c r="K108" s="505"/>
      <c r="L108" s="505"/>
    </row>
    <row r="109" spans="1:12" ht="13.2" x14ac:dyDescent="0.25">
      <c r="A109" s="160">
        <f t="shared" si="2"/>
        <v>172</v>
      </c>
      <c r="B109" s="589" t="s">
        <v>1388</v>
      </c>
      <c r="C109" s="936" t="s">
        <v>1388</v>
      </c>
      <c r="D109" s="937">
        <v>0</v>
      </c>
      <c r="E109" s="937">
        <v>0</v>
      </c>
      <c r="F109" s="937">
        <v>0</v>
      </c>
      <c r="G109" s="937">
        <v>0</v>
      </c>
      <c r="H109" s="937">
        <v>0</v>
      </c>
      <c r="I109" s="938" t="s">
        <v>1388</v>
      </c>
      <c r="J109" s="365"/>
      <c r="K109" s="505"/>
      <c r="L109" s="505"/>
    </row>
    <row r="110" spans="1:12" ht="13.2" x14ac:dyDescent="0.25">
      <c r="A110" s="160">
        <f t="shared" si="2"/>
        <v>173</v>
      </c>
      <c r="B110" s="589" t="s">
        <v>1388</v>
      </c>
      <c r="C110" s="936" t="s">
        <v>1388</v>
      </c>
      <c r="D110" s="937">
        <v>0</v>
      </c>
      <c r="E110" s="937">
        <v>0</v>
      </c>
      <c r="F110" s="937">
        <v>0</v>
      </c>
      <c r="G110" s="937">
        <v>0</v>
      </c>
      <c r="H110" s="937">
        <v>0</v>
      </c>
      <c r="I110" s="938" t="s">
        <v>1388</v>
      </c>
      <c r="J110" s="365"/>
      <c r="K110" s="505"/>
      <c r="L110" s="505"/>
    </row>
    <row r="111" spans="1:12" ht="13.2" x14ac:dyDescent="0.25">
      <c r="A111" s="160">
        <f t="shared" si="2"/>
        <v>174</v>
      </c>
      <c r="B111" s="589" t="s">
        <v>1388</v>
      </c>
      <c r="C111" s="936" t="s">
        <v>1388</v>
      </c>
      <c r="D111" s="937">
        <v>0</v>
      </c>
      <c r="E111" s="937">
        <v>0</v>
      </c>
      <c r="F111" s="937">
        <v>0</v>
      </c>
      <c r="G111" s="937">
        <v>0</v>
      </c>
      <c r="H111" s="937">
        <v>0</v>
      </c>
      <c r="I111" s="938" t="s">
        <v>1388</v>
      </c>
      <c r="J111" s="365"/>
      <c r="K111" s="505"/>
      <c r="L111" s="505"/>
    </row>
    <row r="112" spans="1:12" ht="13.2" x14ac:dyDescent="0.25">
      <c r="A112" s="160">
        <f t="shared" si="2"/>
        <v>175</v>
      </c>
      <c r="B112" s="589" t="s">
        <v>510</v>
      </c>
      <c r="C112" s="936"/>
      <c r="D112" s="937"/>
      <c r="E112" s="937"/>
      <c r="F112" s="937"/>
      <c r="G112" s="937"/>
      <c r="H112" s="937"/>
      <c r="I112" s="938"/>
      <c r="J112" s="365"/>
      <c r="K112" s="505"/>
      <c r="L112" s="505"/>
    </row>
    <row r="113" spans="1:12" ht="13.2" x14ac:dyDescent="0.25">
      <c r="A113" s="547"/>
      <c r="B113" s="590"/>
      <c r="C113" s="577"/>
      <c r="D113" s="591"/>
      <c r="E113" s="204"/>
      <c r="F113" s="204"/>
      <c r="G113" s="204"/>
      <c r="H113" s="204"/>
      <c r="I113" s="326" t="s">
        <v>180</v>
      </c>
      <c r="J113" s="202"/>
      <c r="K113" s="505"/>
      <c r="L113" s="505"/>
    </row>
    <row r="114" spans="1:12" ht="13.2" x14ac:dyDescent="0.25">
      <c r="A114" s="94">
        <v>250</v>
      </c>
      <c r="B114" s="577"/>
      <c r="C114" s="577" t="s">
        <v>1583</v>
      </c>
      <c r="D114" s="924">
        <v>0</v>
      </c>
      <c r="E114" s="924">
        <v>0</v>
      </c>
      <c r="F114" s="924">
        <v>0</v>
      </c>
      <c r="G114" s="924">
        <v>0</v>
      </c>
      <c r="H114" s="924">
        <v>0</v>
      </c>
      <c r="I114" s="213" t="str">
        <f>"Sum of Above Lines beginning on Line "&amp;A31&amp;""</f>
        <v>Sum of Above Lines beginning on Line 100</v>
      </c>
      <c r="J114" s="202"/>
      <c r="K114" s="505"/>
      <c r="L114" s="505"/>
    </row>
    <row r="115" spans="1:12" ht="13.2" x14ac:dyDescent="0.25">
      <c r="A115" s="547"/>
      <c r="B115" s="577"/>
      <c r="C115" s="577"/>
      <c r="D115" s="593"/>
      <c r="E115" s="204"/>
      <c r="F115" s="204"/>
      <c r="G115" s="204"/>
      <c r="H115" s="204"/>
      <c r="I115" s="202"/>
      <c r="J115" s="202"/>
    </row>
    <row r="116" spans="1:12" ht="13.2" x14ac:dyDescent="0.25">
      <c r="A116" s="547"/>
      <c r="B116" s="577" t="s">
        <v>1584</v>
      </c>
      <c r="C116" s="577"/>
      <c r="D116" s="593"/>
      <c r="E116" s="204"/>
      <c r="F116" s="204"/>
      <c r="G116" s="204"/>
      <c r="H116" s="204"/>
      <c r="I116" s="899" t="s">
        <v>1899</v>
      </c>
      <c r="J116" s="202"/>
    </row>
    <row r="117" spans="1:12" x14ac:dyDescent="0.3">
      <c r="A117" s="547"/>
      <c r="C117" s="76" t="s">
        <v>363</v>
      </c>
      <c r="D117" s="76" t="s">
        <v>347</v>
      </c>
      <c r="E117" s="76" t="s">
        <v>348</v>
      </c>
      <c r="F117" s="76" t="s">
        <v>349</v>
      </c>
      <c r="G117" s="76" t="s">
        <v>350</v>
      </c>
      <c r="H117" s="76" t="s">
        <v>351</v>
      </c>
      <c r="I117" s="76" t="s">
        <v>352</v>
      </c>
      <c r="J117" s="202"/>
    </row>
    <row r="118" spans="1:12" ht="13.2" x14ac:dyDescent="0.25">
      <c r="A118" s="160">
        <v>300</v>
      </c>
      <c r="B118" s="589" t="s">
        <v>1388</v>
      </c>
      <c r="C118" s="936" t="s">
        <v>1388</v>
      </c>
      <c r="D118" s="937">
        <v>0</v>
      </c>
      <c r="E118" s="937">
        <v>0</v>
      </c>
      <c r="F118" s="937">
        <v>0</v>
      </c>
      <c r="G118" s="937">
        <v>0</v>
      </c>
      <c r="H118" s="937">
        <v>0</v>
      </c>
      <c r="I118" s="938" t="s">
        <v>1388</v>
      </c>
      <c r="J118" s="697"/>
    </row>
    <row r="119" spans="1:12" ht="13.2" x14ac:dyDescent="0.25">
      <c r="A119" s="160">
        <f t="shared" si="2"/>
        <v>301</v>
      </c>
      <c r="B119" s="589" t="s">
        <v>1388</v>
      </c>
      <c r="C119" s="936" t="s">
        <v>1388</v>
      </c>
      <c r="D119" s="937">
        <v>0</v>
      </c>
      <c r="E119" s="937">
        <v>0</v>
      </c>
      <c r="F119" s="937">
        <v>0</v>
      </c>
      <c r="G119" s="937">
        <v>0</v>
      </c>
      <c r="H119" s="937">
        <v>0</v>
      </c>
      <c r="I119" s="938" t="s">
        <v>1388</v>
      </c>
      <c r="J119" s="697"/>
    </row>
    <row r="120" spans="1:12" ht="13.2" x14ac:dyDescent="0.25">
      <c r="A120" s="160">
        <f t="shared" si="2"/>
        <v>302</v>
      </c>
      <c r="B120" s="589" t="s">
        <v>1388</v>
      </c>
      <c r="C120" s="936" t="s">
        <v>1388</v>
      </c>
      <c r="D120" s="937">
        <v>0</v>
      </c>
      <c r="E120" s="937">
        <v>0</v>
      </c>
      <c r="F120" s="937">
        <v>0</v>
      </c>
      <c r="G120" s="937">
        <v>0</v>
      </c>
      <c r="H120" s="937">
        <v>0</v>
      </c>
      <c r="I120" s="938" t="s">
        <v>1388</v>
      </c>
      <c r="J120" s="697"/>
    </row>
    <row r="121" spans="1:12" ht="13.2" x14ac:dyDescent="0.25">
      <c r="A121" s="160">
        <f t="shared" si="2"/>
        <v>303</v>
      </c>
      <c r="B121" s="589" t="s">
        <v>1388</v>
      </c>
      <c r="C121" s="936" t="s">
        <v>1388</v>
      </c>
      <c r="D121" s="937">
        <v>0</v>
      </c>
      <c r="E121" s="937">
        <v>0</v>
      </c>
      <c r="F121" s="937">
        <v>0</v>
      </c>
      <c r="G121" s="937">
        <v>0</v>
      </c>
      <c r="H121" s="937">
        <v>0</v>
      </c>
      <c r="I121" s="938" t="s">
        <v>1388</v>
      </c>
      <c r="J121" s="697"/>
    </row>
    <row r="122" spans="1:12" ht="13.2" x14ac:dyDescent="0.25">
      <c r="A122" s="160">
        <f t="shared" si="2"/>
        <v>304</v>
      </c>
      <c r="B122" s="589" t="s">
        <v>1388</v>
      </c>
      <c r="C122" s="936" t="s">
        <v>1388</v>
      </c>
      <c r="D122" s="937">
        <v>0</v>
      </c>
      <c r="E122" s="937">
        <v>0</v>
      </c>
      <c r="F122" s="937">
        <v>0</v>
      </c>
      <c r="G122" s="937">
        <v>0</v>
      </c>
      <c r="H122" s="937">
        <v>0</v>
      </c>
      <c r="I122" s="938" t="s">
        <v>1388</v>
      </c>
      <c r="J122" s="697"/>
    </row>
    <row r="123" spans="1:12" ht="13.2" x14ac:dyDescent="0.25">
      <c r="A123" s="160">
        <f t="shared" si="2"/>
        <v>305</v>
      </c>
      <c r="B123" s="589" t="s">
        <v>1388</v>
      </c>
      <c r="C123" s="936" t="s">
        <v>1388</v>
      </c>
      <c r="D123" s="937">
        <v>0</v>
      </c>
      <c r="E123" s="937">
        <v>0</v>
      </c>
      <c r="F123" s="937">
        <v>0</v>
      </c>
      <c r="G123" s="937">
        <v>0</v>
      </c>
      <c r="H123" s="937">
        <v>0</v>
      </c>
      <c r="I123" s="938" t="s">
        <v>1388</v>
      </c>
      <c r="J123" s="365"/>
    </row>
    <row r="124" spans="1:12" ht="13.2" x14ac:dyDescent="0.25">
      <c r="A124" s="160">
        <f t="shared" si="2"/>
        <v>306</v>
      </c>
      <c r="B124" s="589" t="s">
        <v>1388</v>
      </c>
      <c r="C124" s="936" t="s">
        <v>1388</v>
      </c>
      <c r="D124" s="937">
        <v>0</v>
      </c>
      <c r="E124" s="937">
        <v>0</v>
      </c>
      <c r="F124" s="937">
        <v>0</v>
      </c>
      <c r="G124" s="937">
        <v>0</v>
      </c>
      <c r="H124" s="937">
        <v>0</v>
      </c>
      <c r="I124" s="938" t="s">
        <v>1388</v>
      </c>
      <c r="J124" s="365"/>
    </row>
    <row r="125" spans="1:12" ht="13.2" x14ac:dyDescent="0.25">
      <c r="A125" s="160">
        <f t="shared" si="2"/>
        <v>307</v>
      </c>
      <c r="B125" s="589" t="s">
        <v>1388</v>
      </c>
      <c r="C125" s="936" t="s">
        <v>1388</v>
      </c>
      <c r="D125" s="937">
        <v>0</v>
      </c>
      <c r="E125" s="937">
        <v>0</v>
      </c>
      <c r="F125" s="937">
        <v>0</v>
      </c>
      <c r="G125" s="937">
        <v>0</v>
      </c>
      <c r="H125" s="937">
        <v>0</v>
      </c>
      <c r="I125" s="938" t="s">
        <v>1388</v>
      </c>
      <c r="J125" s="365"/>
    </row>
    <row r="126" spans="1:12" ht="13.2" x14ac:dyDescent="0.25">
      <c r="A126" s="160">
        <f t="shared" si="2"/>
        <v>308</v>
      </c>
      <c r="B126" s="589" t="s">
        <v>1388</v>
      </c>
      <c r="C126" s="936" t="s">
        <v>1388</v>
      </c>
      <c r="D126" s="937">
        <v>0</v>
      </c>
      <c r="E126" s="937">
        <v>0</v>
      </c>
      <c r="F126" s="937">
        <v>0</v>
      </c>
      <c r="G126" s="937">
        <v>0</v>
      </c>
      <c r="H126" s="937">
        <v>0</v>
      </c>
      <c r="I126" s="938" t="s">
        <v>1388</v>
      </c>
      <c r="J126" s="365"/>
    </row>
    <row r="127" spans="1:12" ht="13.2" x14ac:dyDescent="0.25">
      <c r="A127" s="160">
        <f t="shared" si="2"/>
        <v>309</v>
      </c>
      <c r="B127" s="589" t="s">
        <v>1388</v>
      </c>
      <c r="C127" s="936" t="s">
        <v>1388</v>
      </c>
      <c r="D127" s="937">
        <v>0</v>
      </c>
      <c r="E127" s="937">
        <v>0</v>
      </c>
      <c r="F127" s="937">
        <v>0</v>
      </c>
      <c r="G127" s="937">
        <v>0</v>
      </c>
      <c r="H127" s="937">
        <v>0</v>
      </c>
      <c r="I127" s="938" t="s">
        <v>1388</v>
      </c>
      <c r="J127" s="365"/>
    </row>
    <row r="128" spans="1:12" ht="13.2" x14ac:dyDescent="0.25">
      <c r="A128" s="160">
        <f t="shared" si="2"/>
        <v>310</v>
      </c>
      <c r="B128" s="589" t="s">
        <v>1388</v>
      </c>
      <c r="C128" s="936" t="s">
        <v>1388</v>
      </c>
      <c r="D128" s="937">
        <v>0</v>
      </c>
      <c r="E128" s="937">
        <v>0</v>
      </c>
      <c r="F128" s="937">
        <v>0</v>
      </c>
      <c r="G128" s="937">
        <v>0</v>
      </c>
      <c r="H128" s="937">
        <v>0</v>
      </c>
      <c r="I128" s="938" t="s">
        <v>1388</v>
      </c>
      <c r="J128" s="365"/>
    </row>
    <row r="129" spans="1:10" ht="13.2" x14ac:dyDescent="0.25">
      <c r="A129" s="160">
        <f t="shared" si="2"/>
        <v>311</v>
      </c>
      <c r="B129" s="589" t="s">
        <v>1388</v>
      </c>
      <c r="C129" s="936" t="s">
        <v>1388</v>
      </c>
      <c r="D129" s="937">
        <v>0</v>
      </c>
      <c r="E129" s="937">
        <v>0</v>
      </c>
      <c r="F129" s="937">
        <v>0</v>
      </c>
      <c r="G129" s="937">
        <v>0</v>
      </c>
      <c r="H129" s="937">
        <v>0</v>
      </c>
      <c r="I129" s="938" t="s">
        <v>1388</v>
      </c>
      <c r="J129" s="365"/>
    </row>
    <row r="130" spans="1:10" ht="13.2" x14ac:dyDescent="0.25">
      <c r="A130" s="160">
        <f t="shared" si="2"/>
        <v>312</v>
      </c>
      <c r="B130" s="589" t="s">
        <v>1388</v>
      </c>
      <c r="C130" s="936" t="s">
        <v>1388</v>
      </c>
      <c r="D130" s="937">
        <v>0</v>
      </c>
      <c r="E130" s="937">
        <v>0</v>
      </c>
      <c r="F130" s="937">
        <v>0</v>
      </c>
      <c r="G130" s="937">
        <v>0</v>
      </c>
      <c r="H130" s="937">
        <v>0</v>
      </c>
      <c r="I130" s="938" t="s">
        <v>1388</v>
      </c>
      <c r="J130" s="365"/>
    </row>
    <row r="131" spans="1:10" ht="13.2" x14ac:dyDescent="0.25">
      <c r="A131" s="160">
        <f t="shared" si="2"/>
        <v>313</v>
      </c>
      <c r="B131" s="589" t="s">
        <v>1388</v>
      </c>
      <c r="C131" s="936" t="s">
        <v>1388</v>
      </c>
      <c r="D131" s="937">
        <v>0</v>
      </c>
      <c r="E131" s="937">
        <v>0</v>
      </c>
      <c r="F131" s="937">
        <v>0</v>
      </c>
      <c r="G131" s="937">
        <v>0</v>
      </c>
      <c r="H131" s="937">
        <v>0</v>
      </c>
      <c r="I131" s="938" t="s">
        <v>1388</v>
      </c>
      <c r="J131" s="365"/>
    </row>
    <row r="132" spans="1:10" ht="13.2" x14ac:dyDescent="0.25">
      <c r="A132" s="160">
        <f t="shared" si="2"/>
        <v>314</v>
      </c>
      <c r="B132" s="589" t="s">
        <v>510</v>
      </c>
      <c r="C132" s="584"/>
      <c r="D132" s="585"/>
      <c r="E132" s="207"/>
      <c r="F132" s="207"/>
      <c r="G132" s="207"/>
      <c r="H132" s="207"/>
      <c r="I132" s="365"/>
      <c r="J132" s="365"/>
    </row>
    <row r="133" spans="1:10" ht="13.2" x14ac:dyDescent="0.25">
      <c r="A133" s="547"/>
      <c r="B133" s="590"/>
      <c r="C133" s="587"/>
      <c r="D133" s="588"/>
      <c r="E133" s="206"/>
      <c r="F133" s="206"/>
      <c r="G133" s="206"/>
      <c r="H133" s="206"/>
      <c r="I133" s="208"/>
      <c r="J133" s="208"/>
    </row>
    <row r="134" spans="1:10" ht="13.2" x14ac:dyDescent="0.25">
      <c r="A134" s="547"/>
      <c r="B134" s="590"/>
      <c r="C134" s="76" t="s">
        <v>363</v>
      </c>
      <c r="D134" s="76" t="s">
        <v>347</v>
      </c>
      <c r="E134" s="76" t="s">
        <v>348</v>
      </c>
      <c r="F134" s="76" t="s">
        <v>349</v>
      </c>
      <c r="G134" s="76" t="s">
        <v>350</v>
      </c>
      <c r="H134" s="76" t="s">
        <v>351</v>
      </c>
      <c r="I134" s="326" t="s">
        <v>180</v>
      </c>
      <c r="J134" s="202"/>
    </row>
    <row r="135" spans="1:10" ht="13.2" x14ac:dyDescent="0.25">
      <c r="A135" s="528">
        <v>350</v>
      </c>
      <c r="B135" s="577"/>
      <c r="C135" s="577" t="s">
        <v>1585</v>
      </c>
      <c r="D135" s="924">
        <v>0</v>
      </c>
      <c r="E135" s="924">
        <v>0</v>
      </c>
      <c r="F135" s="924">
        <v>0</v>
      </c>
      <c r="G135" s="924">
        <v>0</v>
      </c>
      <c r="H135" s="924">
        <v>0</v>
      </c>
      <c r="I135" s="213" t="str">
        <f>"Sum of Above Lines beginning on Line "&amp;A118&amp;""</f>
        <v>Sum of Above Lines beginning on Line 300</v>
      </c>
      <c r="J135" s="202"/>
    </row>
    <row r="136" spans="1:10" ht="13.2" x14ac:dyDescent="0.25">
      <c r="A136" s="528"/>
      <c r="B136" s="577"/>
      <c r="C136" s="577"/>
      <c r="D136" s="592"/>
      <c r="E136" s="592"/>
      <c r="F136" s="592"/>
      <c r="G136" s="592"/>
      <c r="H136" s="592"/>
      <c r="I136" s="213"/>
      <c r="J136" s="202"/>
    </row>
    <row r="137" spans="1:10" ht="13.2" x14ac:dyDescent="0.25">
      <c r="A137" s="528">
        <f t="shared" ref="A137" si="3">A135+1</f>
        <v>351</v>
      </c>
      <c r="B137" s="577"/>
      <c r="C137" s="577" t="s">
        <v>1586</v>
      </c>
      <c r="D137" s="924">
        <v>0</v>
      </c>
      <c r="E137" s="924">
        <v>0</v>
      </c>
      <c r="F137" s="924">
        <v>0</v>
      </c>
      <c r="G137" s="924">
        <v>0</v>
      </c>
      <c r="H137" s="924">
        <v>0</v>
      </c>
      <c r="I137" s="511" t="str">
        <f>"Line "&amp;A114&amp;" + Line "&amp;A135&amp;""</f>
        <v>Line 250 + Line 350</v>
      </c>
      <c r="J137" s="202"/>
    </row>
    <row r="138" spans="1:10" ht="13.2" x14ac:dyDescent="0.25">
      <c r="A138" s="528">
        <f>+A137+1</f>
        <v>352</v>
      </c>
      <c r="B138" s="577"/>
      <c r="C138" s="577" t="s">
        <v>1630</v>
      </c>
      <c r="D138" s="592"/>
      <c r="E138" s="592"/>
      <c r="F138" s="592"/>
      <c r="G138" s="931" t="s">
        <v>2193</v>
      </c>
      <c r="H138" s="931" t="s">
        <v>2193</v>
      </c>
      <c r="I138" s="699" t="str">
        <f>"27-Allocators Lines "&amp;'27-Allocators'!A28&amp;" and "&amp;'27-Allocators'!A15&amp;" respectively."</f>
        <v>27-Allocators Lines 22 and 9 respectively.</v>
      </c>
      <c r="J138" s="202"/>
    </row>
    <row r="139" spans="1:10" ht="13.2" x14ac:dyDescent="0.25">
      <c r="A139" s="528">
        <f>+A138+1</f>
        <v>353</v>
      </c>
      <c r="B139" s="577"/>
      <c r="C139" s="577" t="s">
        <v>1631</v>
      </c>
      <c r="D139" s="924">
        <v>0</v>
      </c>
      <c r="E139" s="592"/>
      <c r="F139" s="924">
        <v>0</v>
      </c>
      <c r="G139" s="924">
        <v>0</v>
      </c>
      <c r="H139" s="924">
        <v>0</v>
      </c>
      <c r="I139" s="511" t="str">
        <f>"Line "&amp;A137&amp;" * Line "&amp;A138&amp;" for Cols 5 and 6.  Col. 4 100% ISO."</f>
        <v>Line 351 * Line 352 for Cols 5 and 6.  Col. 4 100% ISO.</v>
      </c>
      <c r="J139" s="202"/>
    </row>
    <row r="140" spans="1:10" ht="13.2" x14ac:dyDescent="0.25">
      <c r="A140" s="528"/>
      <c r="B140" s="577"/>
      <c r="C140" s="594" t="s">
        <v>1633</v>
      </c>
      <c r="D140" s="592"/>
      <c r="E140" s="592"/>
      <c r="F140" s="592"/>
      <c r="G140" s="592"/>
      <c r="H140" s="592"/>
      <c r="I140" s="511"/>
      <c r="J140" s="202"/>
    </row>
    <row r="141" spans="1:10" ht="13.2" x14ac:dyDescent="0.25">
      <c r="A141" s="528"/>
      <c r="B141" s="577"/>
      <c r="C141" s="577"/>
      <c r="D141" s="592"/>
      <c r="E141" s="592"/>
      <c r="F141" s="592"/>
      <c r="G141" s="592"/>
      <c r="H141" s="592"/>
      <c r="I141" s="511"/>
      <c r="J141" s="202"/>
    </row>
    <row r="142" spans="1:10" x14ac:dyDescent="0.3">
      <c r="A142" s="528">
        <f>+A139+1</f>
        <v>354</v>
      </c>
      <c r="B142" s="577"/>
      <c r="C142" s="577" t="s">
        <v>1587</v>
      </c>
      <c r="D142" s="937">
        <v>0</v>
      </c>
      <c r="E142" s="596" t="str">
        <f>"Must match amount on Line "&amp;A137&amp;", Col. 2"</f>
        <v>Must match amount on Line 351, Col. 2</v>
      </c>
      <c r="G142" s="592"/>
      <c r="H142" s="592"/>
      <c r="I142" s="511" t="s">
        <v>1230</v>
      </c>
      <c r="J142" s="202"/>
    </row>
    <row r="143" spans="1:10" ht="13.2" x14ac:dyDescent="0.25">
      <c r="A143" s="547"/>
      <c r="B143" s="577"/>
      <c r="C143" s="577"/>
      <c r="D143" s="597"/>
      <c r="E143" s="597"/>
      <c r="F143" s="597"/>
      <c r="G143" s="597"/>
      <c r="H143" s="597"/>
      <c r="I143" s="512"/>
      <c r="J143" s="202"/>
    </row>
    <row r="144" spans="1:10" ht="13.2" x14ac:dyDescent="0.25">
      <c r="A144" s="443"/>
      <c r="B144" s="576" t="s">
        <v>1588</v>
      </c>
      <c r="C144" s="598"/>
      <c r="D144" s="597"/>
      <c r="E144" s="202"/>
      <c r="F144" s="202"/>
      <c r="G144" s="202"/>
      <c r="H144" s="202"/>
      <c r="I144" s="202"/>
      <c r="J144" s="202"/>
    </row>
    <row r="145" spans="1:10" x14ac:dyDescent="0.3">
      <c r="A145" s="443"/>
      <c r="C145" s="76" t="s">
        <v>363</v>
      </c>
      <c r="D145" s="76" t="s">
        <v>347</v>
      </c>
      <c r="E145" s="76" t="s">
        <v>348</v>
      </c>
      <c r="F145" s="76" t="s">
        <v>349</v>
      </c>
      <c r="G145" s="76" t="s">
        <v>350</v>
      </c>
      <c r="H145" s="76" t="s">
        <v>351</v>
      </c>
      <c r="I145" s="76" t="s">
        <v>352</v>
      </c>
      <c r="J145" s="202"/>
    </row>
    <row r="146" spans="1:10" ht="13.2" x14ac:dyDescent="0.25">
      <c r="A146" s="443"/>
      <c r="B146" s="580"/>
      <c r="C146" s="580"/>
      <c r="D146" s="580" t="s">
        <v>1572</v>
      </c>
      <c r="E146" s="580" t="s">
        <v>1573</v>
      </c>
      <c r="F146" s="580"/>
      <c r="G146" s="580"/>
      <c r="H146" s="580" t="s">
        <v>1282</v>
      </c>
      <c r="I146" s="899" t="s">
        <v>1899</v>
      </c>
      <c r="J146" s="202"/>
    </row>
    <row r="147" spans="1:10" ht="13.2" x14ac:dyDescent="0.25">
      <c r="A147" s="443"/>
      <c r="B147" s="583" t="s">
        <v>1589</v>
      </c>
      <c r="C147" s="583" t="s">
        <v>1575</v>
      </c>
      <c r="D147" s="583" t="s">
        <v>1576</v>
      </c>
      <c r="E147" s="583" t="s">
        <v>1577</v>
      </c>
      <c r="F147" s="583" t="s">
        <v>1578</v>
      </c>
      <c r="G147" s="583" t="s">
        <v>1579</v>
      </c>
      <c r="H147" s="583" t="s">
        <v>1567</v>
      </c>
      <c r="I147" s="583" t="s">
        <v>101</v>
      </c>
      <c r="J147" s="202"/>
    </row>
    <row r="148" spans="1:10" ht="13.2" x14ac:dyDescent="0.25">
      <c r="A148" s="160">
        <v>400</v>
      </c>
      <c r="B148" s="589" t="s">
        <v>1388</v>
      </c>
      <c r="C148" s="936" t="s">
        <v>1388</v>
      </c>
      <c r="D148" s="937">
        <v>0</v>
      </c>
      <c r="E148" s="937">
        <v>0</v>
      </c>
      <c r="F148" s="937">
        <v>0</v>
      </c>
      <c r="G148" s="937">
        <v>0</v>
      </c>
      <c r="H148" s="937">
        <v>0</v>
      </c>
      <c r="I148" s="938" t="s">
        <v>1388</v>
      </c>
      <c r="J148" s="697"/>
    </row>
    <row r="149" spans="1:10" ht="13.2" x14ac:dyDescent="0.25">
      <c r="A149" s="160">
        <f t="shared" ref="A149:A168" si="4">A148+1</f>
        <v>401</v>
      </c>
      <c r="B149" s="589" t="s">
        <v>1388</v>
      </c>
      <c r="C149" s="936" t="s">
        <v>1388</v>
      </c>
      <c r="D149" s="937">
        <v>0</v>
      </c>
      <c r="E149" s="937">
        <v>0</v>
      </c>
      <c r="F149" s="937">
        <v>0</v>
      </c>
      <c r="G149" s="937">
        <v>0</v>
      </c>
      <c r="H149" s="937">
        <v>0</v>
      </c>
      <c r="I149" s="938" t="s">
        <v>1388</v>
      </c>
      <c r="J149" s="697"/>
    </row>
    <row r="150" spans="1:10" ht="13.2" x14ac:dyDescent="0.25">
      <c r="A150" s="160">
        <f t="shared" si="4"/>
        <v>402</v>
      </c>
      <c r="B150" s="589" t="s">
        <v>1388</v>
      </c>
      <c r="C150" s="936" t="s">
        <v>1388</v>
      </c>
      <c r="D150" s="937">
        <v>0</v>
      </c>
      <c r="E150" s="937">
        <v>0</v>
      </c>
      <c r="F150" s="937">
        <v>0</v>
      </c>
      <c r="G150" s="937">
        <v>0</v>
      </c>
      <c r="H150" s="937">
        <v>0</v>
      </c>
      <c r="I150" s="938" t="s">
        <v>1388</v>
      </c>
      <c r="J150" s="697"/>
    </row>
    <row r="151" spans="1:10" ht="13.2" x14ac:dyDescent="0.25">
      <c r="A151" s="160">
        <f t="shared" si="4"/>
        <v>403</v>
      </c>
      <c r="B151" s="589" t="s">
        <v>1388</v>
      </c>
      <c r="C151" s="936" t="s">
        <v>1388</v>
      </c>
      <c r="D151" s="937">
        <v>0</v>
      </c>
      <c r="E151" s="937">
        <v>0</v>
      </c>
      <c r="F151" s="937">
        <v>0</v>
      </c>
      <c r="G151" s="937">
        <v>0</v>
      </c>
      <c r="H151" s="937">
        <v>0</v>
      </c>
      <c r="I151" s="938" t="s">
        <v>1388</v>
      </c>
      <c r="J151" s="697"/>
    </row>
    <row r="152" spans="1:10" ht="13.2" x14ac:dyDescent="0.25">
      <c r="A152" s="160">
        <f t="shared" si="4"/>
        <v>404</v>
      </c>
      <c r="B152" s="589" t="s">
        <v>1388</v>
      </c>
      <c r="C152" s="936" t="s">
        <v>1388</v>
      </c>
      <c r="D152" s="937">
        <v>0</v>
      </c>
      <c r="E152" s="937">
        <v>0</v>
      </c>
      <c r="F152" s="937">
        <v>0</v>
      </c>
      <c r="G152" s="937">
        <v>0</v>
      </c>
      <c r="H152" s="937">
        <v>0</v>
      </c>
      <c r="I152" s="938" t="s">
        <v>1388</v>
      </c>
      <c r="J152" s="697"/>
    </row>
    <row r="153" spans="1:10" ht="13.2" x14ac:dyDescent="0.25">
      <c r="A153" s="160">
        <f t="shared" si="4"/>
        <v>405</v>
      </c>
      <c r="B153" s="589" t="s">
        <v>1388</v>
      </c>
      <c r="C153" s="936" t="s">
        <v>1388</v>
      </c>
      <c r="D153" s="937">
        <v>0</v>
      </c>
      <c r="E153" s="937">
        <v>0</v>
      </c>
      <c r="F153" s="937">
        <v>0</v>
      </c>
      <c r="G153" s="937">
        <v>0</v>
      </c>
      <c r="H153" s="937">
        <v>0</v>
      </c>
      <c r="I153" s="938" t="s">
        <v>1388</v>
      </c>
      <c r="J153" s="697"/>
    </row>
    <row r="154" spans="1:10" ht="13.2" x14ac:dyDescent="0.25">
      <c r="A154" s="160">
        <f t="shared" si="4"/>
        <v>406</v>
      </c>
      <c r="B154" s="589" t="s">
        <v>1388</v>
      </c>
      <c r="C154" s="936" t="s">
        <v>1388</v>
      </c>
      <c r="D154" s="937">
        <v>0</v>
      </c>
      <c r="E154" s="937">
        <v>0</v>
      </c>
      <c r="F154" s="937">
        <v>0</v>
      </c>
      <c r="G154" s="937">
        <v>0</v>
      </c>
      <c r="H154" s="937">
        <v>0</v>
      </c>
      <c r="I154" s="938" t="s">
        <v>1388</v>
      </c>
      <c r="J154" s="697"/>
    </row>
    <row r="155" spans="1:10" ht="13.2" x14ac:dyDescent="0.25">
      <c r="A155" s="160">
        <f t="shared" si="4"/>
        <v>407</v>
      </c>
      <c r="B155" s="589" t="s">
        <v>1388</v>
      </c>
      <c r="C155" s="936" t="s">
        <v>1388</v>
      </c>
      <c r="D155" s="937">
        <v>0</v>
      </c>
      <c r="E155" s="937">
        <v>0</v>
      </c>
      <c r="F155" s="937">
        <v>0</v>
      </c>
      <c r="G155" s="937">
        <v>0</v>
      </c>
      <c r="H155" s="937">
        <v>0</v>
      </c>
      <c r="I155" s="938" t="s">
        <v>1388</v>
      </c>
      <c r="J155" s="697"/>
    </row>
    <row r="156" spans="1:10" ht="13.2" x14ac:dyDescent="0.25">
      <c r="A156" s="160">
        <f t="shared" si="4"/>
        <v>408</v>
      </c>
      <c r="B156" s="589" t="s">
        <v>1388</v>
      </c>
      <c r="C156" s="936" t="s">
        <v>1388</v>
      </c>
      <c r="D156" s="937">
        <v>0</v>
      </c>
      <c r="E156" s="937">
        <v>0</v>
      </c>
      <c r="F156" s="937">
        <v>0</v>
      </c>
      <c r="G156" s="937">
        <v>0</v>
      </c>
      <c r="H156" s="937">
        <v>0</v>
      </c>
      <c r="I156" s="938" t="s">
        <v>1388</v>
      </c>
      <c r="J156" s="697"/>
    </row>
    <row r="157" spans="1:10" ht="13.2" x14ac:dyDescent="0.25">
      <c r="A157" s="160">
        <f t="shared" si="4"/>
        <v>409</v>
      </c>
      <c r="B157" s="589" t="s">
        <v>1388</v>
      </c>
      <c r="C157" s="936" t="s">
        <v>1388</v>
      </c>
      <c r="D157" s="937">
        <v>0</v>
      </c>
      <c r="E157" s="937">
        <v>0</v>
      </c>
      <c r="F157" s="937">
        <v>0</v>
      </c>
      <c r="G157" s="937">
        <v>0</v>
      </c>
      <c r="H157" s="937">
        <v>0</v>
      </c>
      <c r="I157" s="938" t="s">
        <v>1388</v>
      </c>
      <c r="J157" s="697"/>
    </row>
    <row r="158" spans="1:10" ht="13.2" x14ac:dyDescent="0.25">
      <c r="A158" s="160">
        <f t="shared" si="4"/>
        <v>410</v>
      </c>
      <c r="B158" s="589" t="s">
        <v>1388</v>
      </c>
      <c r="C158" s="936" t="s">
        <v>1388</v>
      </c>
      <c r="D158" s="937">
        <v>0</v>
      </c>
      <c r="E158" s="937">
        <v>0</v>
      </c>
      <c r="F158" s="937">
        <v>0</v>
      </c>
      <c r="G158" s="937">
        <v>0</v>
      </c>
      <c r="H158" s="937">
        <v>0</v>
      </c>
      <c r="I158" s="938" t="s">
        <v>1388</v>
      </c>
      <c r="J158" s="365"/>
    </row>
    <row r="159" spans="1:10" ht="13.2" x14ac:dyDescent="0.25">
      <c r="A159" s="160">
        <f t="shared" si="4"/>
        <v>411</v>
      </c>
      <c r="B159" s="589" t="s">
        <v>1388</v>
      </c>
      <c r="C159" s="936" t="s">
        <v>1388</v>
      </c>
      <c r="D159" s="937">
        <v>0</v>
      </c>
      <c r="E159" s="937">
        <v>0</v>
      </c>
      <c r="F159" s="937">
        <v>0</v>
      </c>
      <c r="G159" s="937">
        <v>0</v>
      </c>
      <c r="H159" s="937">
        <v>0</v>
      </c>
      <c r="I159" s="938" t="s">
        <v>1388</v>
      </c>
      <c r="J159" s="365"/>
    </row>
    <row r="160" spans="1:10" ht="13.2" x14ac:dyDescent="0.25">
      <c r="A160" s="160">
        <f t="shared" si="4"/>
        <v>412</v>
      </c>
      <c r="B160" s="589" t="s">
        <v>1388</v>
      </c>
      <c r="C160" s="936" t="s">
        <v>1388</v>
      </c>
      <c r="D160" s="937">
        <v>0</v>
      </c>
      <c r="E160" s="937">
        <v>0</v>
      </c>
      <c r="F160" s="937">
        <v>0</v>
      </c>
      <c r="G160" s="937">
        <v>0</v>
      </c>
      <c r="H160" s="937">
        <v>0</v>
      </c>
      <c r="I160" s="938" t="s">
        <v>1388</v>
      </c>
      <c r="J160" s="365"/>
    </row>
    <row r="161" spans="1:10" ht="13.2" x14ac:dyDescent="0.25">
      <c r="A161" s="160">
        <f t="shared" si="4"/>
        <v>413</v>
      </c>
      <c r="B161" s="589" t="s">
        <v>1388</v>
      </c>
      <c r="C161" s="936" t="s">
        <v>1388</v>
      </c>
      <c r="D161" s="937">
        <v>0</v>
      </c>
      <c r="E161" s="937">
        <v>0</v>
      </c>
      <c r="F161" s="937">
        <v>0</v>
      </c>
      <c r="G161" s="937">
        <v>0</v>
      </c>
      <c r="H161" s="937">
        <v>0</v>
      </c>
      <c r="I161" s="938" t="s">
        <v>1388</v>
      </c>
      <c r="J161" s="365"/>
    </row>
    <row r="162" spans="1:10" ht="13.2" x14ac:dyDescent="0.25">
      <c r="A162" s="160">
        <f t="shared" si="4"/>
        <v>414</v>
      </c>
      <c r="B162" s="589" t="s">
        <v>1388</v>
      </c>
      <c r="C162" s="936" t="s">
        <v>1388</v>
      </c>
      <c r="D162" s="937">
        <v>0</v>
      </c>
      <c r="E162" s="937">
        <v>0</v>
      </c>
      <c r="F162" s="937">
        <v>0</v>
      </c>
      <c r="G162" s="937">
        <v>0</v>
      </c>
      <c r="H162" s="937">
        <v>0</v>
      </c>
      <c r="I162" s="938" t="s">
        <v>1388</v>
      </c>
      <c r="J162" s="365"/>
    </row>
    <row r="163" spans="1:10" ht="13.2" x14ac:dyDescent="0.25">
      <c r="A163" s="160">
        <f t="shared" si="4"/>
        <v>415</v>
      </c>
      <c r="B163" s="589" t="s">
        <v>1388</v>
      </c>
      <c r="C163" s="936" t="s">
        <v>1388</v>
      </c>
      <c r="D163" s="937">
        <v>0</v>
      </c>
      <c r="E163" s="937">
        <v>0</v>
      </c>
      <c r="F163" s="937">
        <v>0</v>
      </c>
      <c r="G163" s="937">
        <v>0</v>
      </c>
      <c r="H163" s="937">
        <v>0</v>
      </c>
      <c r="I163" s="938" t="s">
        <v>1388</v>
      </c>
      <c r="J163" s="365"/>
    </row>
    <row r="164" spans="1:10" ht="13.2" x14ac:dyDescent="0.25">
      <c r="A164" s="160">
        <f t="shared" si="4"/>
        <v>416</v>
      </c>
      <c r="B164" s="589" t="s">
        <v>1388</v>
      </c>
      <c r="C164" s="936" t="s">
        <v>1388</v>
      </c>
      <c r="D164" s="937">
        <v>0</v>
      </c>
      <c r="E164" s="937">
        <v>0</v>
      </c>
      <c r="F164" s="937">
        <v>0</v>
      </c>
      <c r="G164" s="937">
        <v>0</v>
      </c>
      <c r="H164" s="937">
        <v>0</v>
      </c>
      <c r="I164" s="938" t="s">
        <v>1388</v>
      </c>
      <c r="J164" s="365"/>
    </row>
    <row r="165" spans="1:10" ht="13.2" x14ac:dyDescent="0.25">
      <c r="A165" s="160">
        <f t="shared" si="4"/>
        <v>417</v>
      </c>
      <c r="B165" s="589" t="s">
        <v>1388</v>
      </c>
      <c r="C165" s="936" t="s">
        <v>1388</v>
      </c>
      <c r="D165" s="937">
        <v>0</v>
      </c>
      <c r="E165" s="937">
        <v>0</v>
      </c>
      <c r="F165" s="937">
        <v>0</v>
      </c>
      <c r="G165" s="937">
        <v>0</v>
      </c>
      <c r="H165" s="937">
        <v>0</v>
      </c>
      <c r="I165" s="938" t="s">
        <v>1388</v>
      </c>
      <c r="J165" s="365"/>
    </row>
    <row r="166" spans="1:10" ht="13.2" x14ac:dyDescent="0.25">
      <c r="A166" s="160">
        <f t="shared" si="4"/>
        <v>418</v>
      </c>
      <c r="B166" s="589" t="s">
        <v>1388</v>
      </c>
      <c r="C166" s="936" t="s">
        <v>1388</v>
      </c>
      <c r="D166" s="937">
        <v>0</v>
      </c>
      <c r="E166" s="937">
        <v>0</v>
      </c>
      <c r="F166" s="937">
        <v>0</v>
      </c>
      <c r="G166" s="937">
        <v>0</v>
      </c>
      <c r="H166" s="937">
        <v>0</v>
      </c>
      <c r="I166" s="938" t="s">
        <v>1388</v>
      </c>
      <c r="J166" s="365"/>
    </row>
    <row r="167" spans="1:10" ht="13.2" x14ac:dyDescent="0.25">
      <c r="A167" s="160">
        <f t="shared" si="4"/>
        <v>419</v>
      </c>
      <c r="B167" s="589" t="s">
        <v>1388</v>
      </c>
      <c r="C167" s="936" t="s">
        <v>1388</v>
      </c>
      <c r="D167" s="937">
        <v>0</v>
      </c>
      <c r="E167" s="937">
        <v>0</v>
      </c>
      <c r="F167" s="937">
        <v>0</v>
      </c>
      <c r="G167" s="937">
        <v>0</v>
      </c>
      <c r="H167" s="937">
        <v>0</v>
      </c>
      <c r="I167" s="938" t="s">
        <v>1388</v>
      </c>
      <c r="J167" s="365"/>
    </row>
    <row r="168" spans="1:10" ht="13.2" x14ac:dyDescent="0.25">
      <c r="A168" s="160">
        <f t="shared" si="4"/>
        <v>420</v>
      </c>
      <c r="B168" s="513" t="s">
        <v>510</v>
      </c>
      <c r="C168" s="453"/>
      <c r="D168" s="595"/>
      <c r="E168" s="207"/>
      <c r="F168" s="207"/>
      <c r="G168" s="207"/>
      <c r="H168" s="207"/>
      <c r="I168" s="365"/>
      <c r="J168" s="365"/>
    </row>
    <row r="169" spans="1:10" ht="13.2" x14ac:dyDescent="0.25">
      <c r="A169" s="547"/>
      <c r="B169" s="514"/>
      <c r="C169" s="445"/>
      <c r="D169" s="599"/>
      <c r="E169" s="206"/>
      <c r="F169" s="206"/>
      <c r="G169" s="206"/>
      <c r="H169" s="206"/>
      <c r="I169" s="208"/>
      <c r="J169" s="208"/>
    </row>
    <row r="170" spans="1:10" ht="13.2" x14ac:dyDescent="0.25">
      <c r="A170" s="547"/>
      <c r="B170" s="514"/>
      <c r="C170" s="76" t="s">
        <v>363</v>
      </c>
      <c r="D170" s="76" t="s">
        <v>347</v>
      </c>
      <c r="E170" s="76" t="s">
        <v>348</v>
      </c>
      <c r="F170" s="76" t="s">
        <v>349</v>
      </c>
      <c r="G170" s="76" t="s">
        <v>350</v>
      </c>
      <c r="H170" s="76" t="s">
        <v>351</v>
      </c>
      <c r="I170" s="326" t="s">
        <v>180</v>
      </c>
      <c r="J170" s="208"/>
    </row>
    <row r="171" spans="1:10" ht="13.2" x14ac:dyDescent="0.25">
      <c r="A171" s="94">
        <v>450</v>
      </c>
      <c r="B171" s="444"/>
      <c r="C171" s="443" t="s">
        <v>1629</v>
      </c>
      <c r="D171" s="924">
        <v>0</v>
      </c>
      <c r="E171" s="924">
        <v>0</v>
      </c>
      <c r="F171" s="924">
        <v>0</v>
      </c>
      <c r="G171" s="924">
        <v>0</v>
      </c>
      <c r="H171" s="924">
        <v>0</v>
      </c>
      <c r="I171" s="213" t="str">
        <f>"Sum of Above Lines beginning on Line "&amp;A148&amp;""</f>
        <v>Sum of Above Lines beginning on Line 400</v>
      </c>
      <c r="J171" s="202"/>
    </row>
    <row r="172" spans="1:10" ht="13.2" x14ac:dyDescent="0.25">
      <c r="A172" s="528">
        <f>+A171+1</f>
        <v>451</v>
      </c>
      <c r="B172" s="577"/>
      <c r="C172" s="577" t="s">
        <v>1630</v>
      </c>
      <c r="D172" s="592"/>
      <c r="E172" s="592"/>
      <c r="F172" s="965"/>
      <c r="G172" s="931" t="s">
        <v>2193</v>
      </c>
      <c r="H172" s="931" t="s">
        <v>2193</v>
      </c>
      <c r="I172" s="699" t="str">
        <f>"27-Allocators Lines "&amp;'27-Allocators'!A28&amp;" and "&amp;'27-Allocators'!A15&amp;" respectively."</f>
        <v>27-Allocators Lines 22 and 9 respectively.</v>
      </c>
      <c r="J172" s="202"/>
    </row>
    <row r="173" spans="1:10" ht="13.2" x14ac:dyDescent="0.25">
      <c r="A173" s="528">
        <f>+A172+1</f>
        <v>452</v>
      </c>
      <c r="B173" s="577"/>
      <c r="C173" s="577" t="s">
        <v>1632</v>
      </c>
      <c r="D173" s="924">
        <v>0</v>
      </c>
      <c r="E173" s="592"/>
      <c r="F173" s="924">
        <v>0</v>
      </c>
      <c r="G173" s="924">
        <v>0</v>
      </c>
      <c r="H173" s="924">
        <v>0</v>
      </c>
      <c r="I173" s="511" t="str">
        <f>"Line "&amp;A171&amp;" * Line "&amp;A172&amp;" for Cols 5 and 6.  Col. 4 100% ISO."</f>
        <v>Line 450 * Line 451 for Cols 5 and 6.  Col. 4 100% ISO.</v>
      </c>
      <c r="J173" s="202"/>
    </row>
    <row r="174" spans="1:10" ht="13.2" x14ac:dyDescent="0.25">
      <c r="A174" s="528"/>
      <c r="B174" s="577"/>
      <c r="C174" s="594" t="s">
        <v>1633</v>
      </c>
      <c r="D174" s="592"/>
      <c r="E174" s="592"/>
      <c r="F174" s="592"/>
      <c r="G174" s="592"/>
      <c r="H174" s="592"/>
      <c r="I174" s="511"/>
      <c r="J174" s="202"/>
    </row>
    <row r="175" spans="1:10" ht="13.2" x14ac:dyDescent="0.25">
      <c r="A175" s="94"/>
      <c r="B175" s="444"/>
      <c r="C175" s="443"/>
      <c r="D175" s="592"/>
      <c r="E175" s="592"/>
      <c r="F175" s="592"/>
      <c r="G175" s="592"/>
      <c r="H175" s="592"/>
      <c r="I175" s="213"/>
      <c r="J175" s="202"/>
    </row>
    <row r="176" spans="1:10" ht="13.2" x14ac:dyDescent="0.25">
      <c r="A176" s="94">
        <f>+A173+1</f>
        <v>453</v>
      </c>
      <c r="B176" s="444"/>
      <c r="C176" s="577" t="s">
        <v>1590</v>
      </c>
      <c r="D176" s="937">
        <v>0</v>
      </c>
      <c r="E176" s="596" t="str">
        <f>"Must match amount on Line "&amp;A171&amp;", Col. 2"</f>
        <v>Must match amount on Line 450, Col. 2</v>
      </c>
      <c r="F176" s="592"/>
      <c r="G176" s="592"/>
      <c r="H176" s="592"/>
      <c r="I176" s="213" t="s">
        <v>1591</v>
      </c>
      <c r="J176" s="202"/>
    </row>
    <row r="177" spans="1:10" ht="13.2" x14ac:dyDescent="0.25">
      <c r="A177" s="547"/>
      <c r="B177" s="444"/>
      <c r="C177" s="443"/>
      <c r="D177" s="592"/>
      <c r="E177" s="592"/>
      <c r="F177" s="592"/>
      <c r="G177" s="592"/>
      <c r="H177" s="592"/>
      <c r="I177" s="213"/>
      <c r="J177" s="202"/>
    </row>
    <row r="178" spans="1:10" ht="13.2" x14ac:dyDescent="0.25">
      <c r="A178" s="547"/>
      <c r="B178" s="444"/>
      <c r="C178" s="443"/>
      <c r="D178" s="592"/>
      <c r="E178" s="592"/>
      <c r="F178" s="592"/>
      <c r="G178" s="592"/>
      <c r="H178" s="592"/>
      <c r="I178" s="512"/>
      <c r="J178" s="202"/>
    </row>
    <row r="179" spans="1:10" ht="13.2" x14ac:dyDescent="0.25">
      <c r="A179" s="443"/>
      <c r="B179" s="576" t="s">
        <v>1592</v>
      </c>
      <c r="C179" s="600"/>
      <c r="D179" s="592"/>
      <c r="E179" s="204"/>
      <c r="F179" s="204"/>
      <c r="G179" s="204"/>
      <c r="H179" s="204"/>
      <c r="I179" s="202"/>
      <c r="J179" s="202"/>
    </row>
    <row r="180" spans="1:10" ht="13.2" x14ac:dyDescent="0.25">
      <c r="A180" s="443"/>
      <c r="B180" s="576"/>
      <c r="C180" s="76" t="s">
        <v>363</v>
      </c>
      <c r="D180" s="76" t="s">
        <v>347</v>
      </c>
      <c r="E180" s="76" t="s">
        <v>348</v>
      </c>
      <c r="F180" s="76" t="s">
        <v>349</v>
      </c>
      <c r="G180" s="76" t="s">
        <v>350</v>
      </c>
      <c r="H180" s="76" t="s">
        <v>351</v>
      </c>
      <c r="I180" s="76" t="s">
        <v>352</v>
      </c>
      <c r="J180" s="202"/>
    </row>
    <row r="181" spans="1:10" ht="13.2" x14ac:dyDescent="0.25">
      <c r="A181" s="443"/>
      <c r="B181" s="580"/>
      <c r="C181" s="580"/>
      <c r="D181" s="601" t="s">
        <v>1572</v>
      </c>
      <c r="E181" s="601" t="s">
        <v>1573</v>
      </c>
      <c r="F181" s="601"/>
      <c r="G181" s="601"/>
      <c r="H181" s="601" t="s">
        <v>1282</v>
      </c>
      <c r="I181" s="899" t="s">
        <v>1899</v>
      </c>
      <c r="J181" s="202"/>
    </row>
    <row r="182" spans="1:10" ht="13.2" x14ac:dyDescent="0.25">
      <c r="A182" s="443"/>
      <c r="B182" s="583" t="s">
        <v>1593</v>
      </c>
      <c r="C182" s="583" t="s">
        <v>1575</v>
      </c>
      <c r="D182" s="602" t="s">
        <v>1576</v>
      </c>
      <c r="E182" s="602" t="s">
        <v>1577</v>
      </c>
      <c r="F182" s="602" t="s">
        <v>1578</v>
      </c>
      <c r="G182" s="602" t="s">
        <v>1579</v>
      </c>
      <c r="H182" s="602" t="s">
        <v>1567</v>
      </c>
      <c r="I182" s="583" t="s">
        <v>101</v>
      </c>
      <c r="J182" s="202"/>
    </row>
    <row r="183" spans="1:10" ht="13.2" x14ac:dyDescent="0.25">
      <c r="A183" s="547"/>
      <c r="B183" s="577" t="s">
        <v>1581</v>
      </c>
      <c r="C183" s="202"/>
      <c r="D183" s="204"/>
      <c r="E183" s="204"/>
      <c r="F183" s="204"/>
      <c r="G183" s="204"/>
      <c r="H183" s="204"/>
      <c r="I183" s="202"/>
      <c r="J183" s="202"/>
    </row>
    <row r="184" spans="1:10" ht="13.2" x14ac:dyDescent="0.25">
      <c r="A184" s="160">
        <v>500</v>
      </c>
      <c r="B184" s="589" t="s">
        <v>1388</v>
      </c>
      <c r="C184" s="936" t="s">
        <v>1388</v>
      </c>
      <c r="D184" s="937">
        <v>0</v>
      </c>
      <c r="E184" s="937">
        <v>0</v>
      </c>
      <c r="F184" s="937">
        <v>0</v>
      </c>
      <c r="G184" s="937">
        <v>0</v>
      </c>
      <c r="H184" s="937">
        <v>0</v>
      </c>
      <c r="I184" s="938" t="s">
        <v>1388</v>
      </c>
      <c r="J184" s="365"/>
    </row>
    <row r="185" spans="1:10" ht="13.2" x14ac:dyDescent="0.25">
      <c r="A185" s="160">
        <f t="shared" ref="A185:A248" si="5">A184+1</f>
        <v>501</v>
      </c>
      <c r="B185" s="589" t="s">
        <v>1388</v>
      </c>
      <c r="C185" s="936" t="s">
        <v>1388</v>
      </c>
      <c r="D185" s="937">
        <v>0</v>
      </c>
      <c r="E185" s="937">
        <v>0</v>
      </c>
      <c r="F185" s="937">
        <v>0</v>
      </c>
      <c r="G185" s="937">
        <v>0</v>
      </c>
      <c r="H185" s="937">
        <v>0</v>
      </c>
      <c r="I185" s="938" t="s">
        <v>1388</v>
      </c>
      <c r="J185" s="365"/>
    </row>
    <row r="186" spans="1:10" ht="13.2" x14ac:dyDescent="0.25">
      <c r="A186" s="160">
        <f t="shared" si="5"/>
        <v>502</v>
      </c>
      <c r="B186" s="589" t="s">
        <v>1388</v>
      </c>
      <c r="C186" s="936" t="s">
        <v>1388</v>
      </c>
      <c r="D186" s="937">
        <v>0</v>
      </c>
      <c r="E186" s="937">
        <v>0</v>
      </c>
      <c r="F186" s="937">
        <v>0</v>
      </c>
      <c r="G186" s="937">
        <v>0</v>
      </c>
      <c r="H186" s="937">
        <v>0</v>
      </c>
      <c r="I186" s="938" t="s">
        <v>1388</v>
      </c>
      <c r="J186" s="365"/>
    </row>
    <row r="187" spans="1:10" ht="13.2" x14ac:dyDescent="0.25">
      <c r="A187" s="160">
        <f t="shared" si="5"/>
        <v>503</v>
      </c>
      <c r="B187" s="589" t="s">
        <v>1388</v>
      </c>
      <c r="C187" s="936" t="s">
        <v>1388</v>
      </c>
      <c r="D187" s="937">
        <v>0</v>
      </c>
      <c r="E187" s="937">
        <v>0</v>
      </c>
      <c r="F187" s="937">
        <v>0</v>
      </c>
      <c r="G187" s="937">
        <v>0</v>
      </c>
      <c r="H187" s="937">
        <v>0</v>
      </c>
      <c r="I187" s="938" t="s">
        <v>1388</v>
      </c>
      <c r="J187" s="365"/>
    </row>
    <row r="188" spans="1:10" ht="13.2" x14ac:dyDescent="0.25">
      <c r="A188" s="160">
        <f t="shared" si="5"/>
        <v>504</v>
      </c>
      <c r="B188" s="589" t="s">
        <v>1388</v>
      </c>
      <c r="C188" s="936" t="s">
        <v>1388</v>
      </c>
      <c r="D188" s="937">
        <v>0</v>
      </c>
      <c r="E188" s="937">
        <v>0</v>
      </c>
      <c r="F188" s="937">
        <v>0</v>
      </c>
      <c r="G188" s="937">
        <v>0</v>
      </c>
      <c r="H188" s="937">
        <v>0</v>
      </c>
      <c r="I188" s="938" t="s">
        <v>1388</v>
      </c>
      <c r="J188" s="365"/>
    </row>
    <row r="189" spans="1:10" ht="13.2" x14ac:dyDescent="0.25">
      <c r="A189" s="160">
        <f t="shared" si="5"/>
        <v>505</v>
      </c>
      <c r="B189" s="589" t="s">
        <v>1388</v>
      </c>
      <c r="C189" s="936" t="s">
        <v>1388</v>
      </c>
      <c r="D189" s="937">
        <v>0</v>
      </c>
      <c r="E189" s="937">
        <v>0</v>
      </c>
      <c r="F189" s="937">
        <v>0</v>
      </c>
      <c r="G189" s="937">
        <v>0</v>
      </c>
      <c r="H189" s="937">
        <v>0</v>
      </c>
      <c r="I189" s="938" t="s">
        <v>1388</v>
      </c>
      <c r="J189" s="365"/>
    </row>
    <row r="190" spans="1:10" ht="13.2" x14ac:dyDescent="0.25">
      <c r="A190" s="160">
        <f t="shared" si="5"/>
        <v>506</v>
      </c>
      <c r="B190" s="589" t="s">
        <v>1388</v>
      </c>
      <c r="C190" s="936" t="s">
        <v>1388</v>
      </c>
      <c r="D190" s="937">
        <v>0</v>
      </c>
      <c r="E190" s="937">
        <v>0</v>
      </c>
      <c r="F190" s="937">
        <v>0</v>
      </c>
      <c r="G190" s="937">
        <v>0</v>
      </c>
      <c r="H190" s="937">
        <v>0</v>
      </c>
      <c r="I190" s="938" t="s">
        <v>1388</v>
      </c>
      <c r="J190" s="365"/>
    </row>
    <row r="191" spans="1:10" ht="13.2" x14ac:dyDescent="0.25">
      <c r="A191" s="160">
        <f t="shared" si="5"/>
        <v>507</v>
      </c>
      <c r="B191" s="589" t="s">
        <v>1388</v>
      </c>
      <c r="C191" s="936" t="s">
        <v>1388</v>
      </c>
      <c r="D191" s="937">
        <v>0</v>
      </c>
      <c r="E191" s="937">
        <v>0</v>
      </c>
      <c r="F191" s="937">
        <v>0</v>
      </c>
      <c r="G191" s="937">
        <v>0</v>
      </c>
      <c r="H191" s="937">
        <v>0</v>
      </c>
      <c r="I191" s="938" t="s">
        <v>1388</v>
      </c>
      <c r="J191" s="365"/>
    </row>
    <row r="192" spans="1:10" ht="13.2" x14ac:dyDescent="0.25">
      <c r="A192" s="160">
        <f t="shared" si="5"/>
        <v>508</v>
      </c>
      <c r="B192" s="589" t="s">
        <v>1388</v>
      </c>
      <c r="C192" s="936" t="s">
        <v>1388</v>
      </c>
      <c r="D192" s="937">
        <v>0</v>
      </c>
      <c r="E192" s="937">
        <v>0</v>
      </c>
      <c r="F192" s="937">
        <v>0</v>
      </c>
      <c r="G192" s="937">
        <v>0</v>
      </c>
      <c r="H192" s="937">
        <v>0</v>
      </c>
      <c r="I192" s="938" t="s">
        <v>1388</v>
      </c>
      <c r="J192" s="365"/>
    </row>
    <row r="193" spans="1:10" ht="13.2" x14ac:dyDescent="0.25">
      <c r="A193" s="160">
        <f t="shared" si="5"/>
        <v>509</v>
      </c>
      <c r="B193" s="589" t="s">
        <v>1388</v>
      </c>
      <c r="C193" s="936" t="s">
        <v>1388</v>
      </c>
      <c r="D193" s="937">
        <v>0</v>
      </c>
      <c r="E193" s="937">
        <v>0</v>
      </c>
      <c r="F193" s="937">
        <v>0</v>
      </c>
      <c r="G193" s="937">
        <v>0</v>
      </c>
      <c r="H193" s="937">
        <v>0</v>
      </c>
      <c r="I193" s="938" t="s">
        <v>1388</v>
      </c>
      <c r="J193" s="365"/>
    </row>
    <row r="194" spans="1:10" ht="13.2" x14ac:dyDescent="0.25">
      <c r="A194" s="160">
        <f t="shared" si="5"/>
        <v>510</v>
      </c>
      <c r="B194" s="589" t="s">
        <v>1388</v>
      </c>
      <c r="C194" s="936" t="s">
        <v>1388</v>
      </c>
      <c r="D194" s="937">
        <v>0</v>
      </c>
      <c r="E194" s="937">
        <v>0</v>
      </c>
      <c r="F194" s="937">
        <v>0</v>
      </c>
      <c r="G194" s="937">
        <v>0</v>
      </c>
      <c r="H194" s="937">
        <v>0</v>
      </c>
      <c r="I194" s="938" t="s">
        <v>1388</v>
      </c>
      <c r="J194" s="365"/>
    </row>
    <row r="195" spans="1:10" ht="13.2" x14ac:dyDescent="0.25">
      <c r="A195" s="160">
        <f t="shared" si="5"/>
        <v>511</v>
      </c>
      <c r="B195" s="589" t="s">
        <v>1388</v>
      </c>
      <c r="C195" s="936" t="s">
        <v>1388</v>
      </c>
      <c r="D195" s="937">
        <v>0</v>
      </c>
      <c r="E195" s="937">
        <v>0</v>
      </c>
      <c r="F195" s="937">
        <v>0</v>
      </c>
      <c r="G195" s="937">
        <v>0</v>
      </c>
      <c r="H195" s="937">
        <v>0</v>
      </c>
      <c r="I195" s="938" t="s">
        <v>1388</v>
      </c>
      <c r="J195" s="365"/>
    </row>
    <row r="196" spans="1:10" ht="13.2" x14ac:dyDescent="0.25">
      <c r="A196" s="160">
        <f t="shared" si="5"/>
        <v>512</v>
      </c>
      <c r="B196" s="589" t="s">
        <v>1388</v>
      </c>
      <c r="C196" s="936" t="s">
        <v>1388</v>
      </c>
      <c r="D196" s="937">
        <v>0</v>
      </c>
      <c r="E196" s="937">
        <v>0</v>
      </c>
      <c r="F196" s="937">
        <v>0</v>
      </c>
      <c r="G196" s="937">
        <v>0</v>
      </c>
      <c r="H196" s="937">
        <v>0</v>
      </c>
      <c r="I196" s="938" t="s">
        <v>1388</v>
      </c>
      <c r="J196" s="365"/>
    </row>
    <row r="197" spans="1:10" ht="13.2" x14ac:dyDescent="0.25">
      <c r="A197" s="160">
        <f t="shared" si="5"/>
        <v>513</v>
      </c>
      <c r="B197" s="589" t="s">
        <v>1388</v>
      </c>
      <c r="C197" s="936" t="s">
        <v>1388</v>
      </c>
      <c r="D197" s="937">
        <v>0</v>
      </c>
      <c r="E197" s="937">
        <v>0</v>
      </c>
      <c r="F197" s="937">
        <v>0</v>
      </c>
      <c r="G197" s="937">
        <v>0</v>
      </c>
      <c r="H197" s="937">
        <v>0</v>
      </c>
      <c r="I197" s="938" t="s">
        <v>1388</v>
      </c>
      <c r="J197" s="365"/>
    </row>
    <row r="198" spans="1:10" ht="13.2" x14ac:dyDescent="0.25">
      <c r="A198" s="160">
        <f t="shared" si="5"/>
        <v>514</v>
      </c>
      <c r="B198" s="589" t="s">
        <v>1388</v>
      </c>
      <c r="C198" s="936" t="s">
        <v>1388</v>
      </c>
      <c r="D198" s="937">
        <v>0</v>
      </c>
      <c r="E198" s="937">
        <v>0</v>
      </c>
      <c r="F198" s="937">
        <v>0</v>
      </c>
      <c r="G198" s="937">
        <v>0</v>
      </c>
      <c r="H198" s="937">
        <v>0</v>
      </c>
      <c r="I198" s="938" t="s">
        <v>1388</v>
      </c>
      <c r="J198" s="365"/>
    </row>
    <row r="199" spans="1:10" ht="13.2" x14ac:dyDescent="0.25">
      <c r="A199" s="160">
        <f t="shared" si="5"/>
        <v>515</v>
      </c>
      <c r="B199" s="589" t="s">
        <v>1388</v>
      </c>
      <c r="C199" s="936" t="s">
        <v>1388</v>
      </c>
      <c r="D199" s="937">
        <v>0</v>
      </c>
      <c r="E199" s="937">
        <v>0</v>
      </c>
      <c r="F199" s="937">
        <v>0</v>
      </c>
      <c r="G199" s="937">
        <v>0</v>
      </c>
      <c r="H199" s="937">
        <v>0</v>
      </c>
      <c r="I199" s="938" t="s">
        <v>1388</v>
      </c>
      <c r="J199" s="365"/>
    </row>
    <row r="200" spans="1:10" ht="13.2" x14ac:dyDescent="0.25">
      <c r="A200" s="160">
        <f t="shared" si="5"/>
        <v>516</v>
      </c>
      <c r="B200" s="589" t="s">
        <v>1388</v>
      </c>
      <c r="C200" s="936" t="s">
        <v>1388</v>
      </c>
      <c r="D200" s="937">
        <v>0</v>
      </c>
      <c r="E200" s="937">
        <v>0</v>
      </c>
      <c r="F200" s="937">
        <v>0</v>
      </c>
      <c r="G200" s="937">
        <v>0</v>
      </c>
      <c r="H200" s="937">
        <v>0</v>
      </c>
      <c r="I200" s="938" t="s">
        <v>1388</v>
      </c>
      <c r="J200" s="365"/>
    </row>
    <row r="201" spans="1:10" ht="13.2" x14ac:dyDescent="0.25">
      <c r="A201" s="160">
        <f t="shared" si="5"/>
        <v>517</v>
      </c>
      <c r="B201" s="589" t="s">
        <v>1388</v>
      </c>
      <c r="C201" s="936" t="s">
        <v>1388</v>
      </c>
      <c r="D201" s="937">
        <v>0</v>
      </c>
      <c r="E201" s="937">
        <v>0</v>
      </c>
      <c r="F201" s="937">
        <v>0</v>
      </c>
      <c r="G201" s="937">
        <v>0</v>
      </c>
      <c r="H201" s="937">
        <v>0</v>
      </c>
      <c r="I201" s="938" t="s">
        <v>1388</v>
      </c>
      <c r="J201" s="365"/>
    </row>
    <row r="202" spans="1:10" ht="13.2" x14ac:dyDescent="0.25">
      <c r="A202" s="160">
        <f t="shared" si="5"/>
        <v>518</v>
      </c>
      <c r="B202" s="589" t="s">
        <v>1388</v>
      </c>
      <c r="C202" s="936" t="s">
        <v>1388</v>
      </c>
      <c r="D202" s="937">
        <v>0</v>
      </c>
      <c r="E202" s="937">
        <v>0</v>
      </c>
      <c r="F202" s="937">
        <v>0</v>
      </c>
      <c r="G202" s="937">
        <v>0</v>
      </c>
      <c r="H202" s="937">
        <v>0</v>
      </c>
      <c r="I202" s="938" t="s">
        <v>1388</v>
      </c>
      <c r="J202" s="365"/>
    </row>
    <row r="203" spans="1:10" ht="13.2" x14ac:dyDescent="0.25">
      <c r="A203" s="160">
        <f t="shared" si="5"/>
        <v>519</v>
      </c>
      <c r="B203" s="589" t="s">
        <v>1388</v>
      </c>
      <c r="C203" s="936" t="s">
        <v>1388</v>
      </c>
      <c r="D203" s="937">
        <v>0</v>
      </c>
      <c r="E203" s="937">
        <v>0</v>
      </c>
      <c r="F203" s="937">
        <v>0</v>
      </c>
      <c r="G203" s="937">
        <v>0</v>
      </c>
      <c r="H203" s="937">
        <v>0</v>
      </c>
      <c r="I203" s="938" t="s">
        <v>1388</v>
      </c>
      <c r="J203" s="365"/>
    </row>
    <row r="204" spans="1:10" ht="13.2" x14ac:dyDescent="0.25">
      <c r="A204" s="160">
        <f t="shared" si="5"/>
        <v>520</v>
      </c>
      <c r="B204" s="589" t="s">
        <v>1388</v>
      </c>
      <c r="C204" s="936" t="s">
        <v>1388</v>
      </c>
      <c r="D204" s="937">
        <v>0</v>
      </c>
      <c r="E204" s="937">
        <v>0</v>
      </c>
      <c r="F204" s="937">
        <v>0</v>
      </c>
      <c r="G204" s="937">
        <v>0</v>
      </c>
      <c r="H204" s="937">
        <v>0</v>
      </c>
      <c r="I204" s="938" t="s">
        <v>1388</v>
      </c>
      <c r="J204" s="365"/>
    </row>
    <row r="205" spans="1:10" ht="13.2" x14ac:dyDescent="0.25">
      <c r="A205" s="160">
        <f t="shared" si="5"/>
        <v>521</v>
      </c>
      <c r="B205" s="589" t="s">
        <v>1388</v>
      </c>
      <c r="C205" s="936" t="s">
        <v>1388</v>
      </c>
      <c r="D205" s="937">
        <v>0</v>
      </c>
      <c r="E205" s="937">
        <v>0</v>
      </c>
      <c r="F205" s="937">
        <v>0</v>
      </c>
      <c r="G205" s="937">
        <v>0</v>
      </c>
      <c r="H205" s="937">
        <v>0</v>
      </c>
      <c r="I205" s="938" t="s">
        <v>1388</v>
      </c>
      <c r="J205" s="365"/>
    </row>
    <row r="206" spans="1:10" ht="13.2" x14ac:dyDescent="0.25">
      <c r="A206" s="160">
        <f t="shared" si="5"/>
        <v>522</v>
      </c>
      <c r="B206" s="589" t="s">
        <v>1388</v>
      </c>
      <c r="C206" s="936" t="s">
        <v>1388</v>
      </c>
      <c r="D206" s="937">
        <v>0</v>
      </c>
      <c r="E206" s="937">
        <v>0</v>
      </c>
      <c r="F206" s="937">
        <v>0</v>
      </c>
      <c r="G206" s="937">
        <v>0</v>
      </c>
      <c r="H206" s="937">
        <v>0</v>
      </c>
      <c r="I206" s="938" t="s">
        <v>1388</v>
      </c>
      <c r="J206" s="365"/>
    </row>
    <row r="207" spans="1:10" ht="13.2" x14ac:dyDescent="0.25">
      <c r="A207" s="160">
        <f t="shared" si="5"/>
        <v>523</v>
      </c>
      <c r="B207" s="589" t="s">
        <v>1388</v>
      </c>
      <c r="C207" s="936" t="s">
        <v>1388</v>
      </c>
      <c r="D207" s="937">
        <v>0</v>
      </c>
      <c r="E207" s="937">
        <v>0</v>
      </c>
      <c r="F207" s="937">
        <v>0</v>
      </c>
      <c r="G207" s="937">
        <v>0</v>
      </c>
      <c r="H207" s="937">
        <v>0</v>
      </c>
      <c r="I207" s="938" t="s">
        <v>1388</v>
      </c>
      <c r="J207" s="365"/>
    </row>
    <row r="208" spans="1:10" ht="13.2" x14ac:dyDescent="0.25">
      <c r="A208" s="160">
        <f t="shared" si="5"/>
        <v>524</v>
      </c>
      <c r="B208" s="589" t="s">
        <v>1388</v>
      </c>
      <c r="C208" s="936" t="s">
        <v>1388</v>
      </c>
      <c r="D208" s="937">
        <v>0</v>
      </c>
      <c r="E208" s="937">
        <v>0</v>
      </c>
      <c r="F208" s="937">
        <v>0</v>
      </c>
      <c r="G208" s="937">
        <v>0</v>
      </c>
      <c r="H208" s="937">
        <v>0</v>
      </c>
      <c r="I208" s="938" t="s">
        <v>1388</v>
      </c>
      <c r="J208" s="365"/>
    </row>
    <row r="209" spans="1:10" ht="13.2" x14ac:dyDescent="0.25">
      <c r="A209" s="160">
        <f t="shared" si="5"/>
        <v>525</v>
      </c>
      <c r="B209" s="589" t="s">
        <v>1388</v>
      </c>
      <c r="C209" s="936" t="s">
        <v>1388</v>
      </c>
      <c r="D209" s="937">
        <v>0</v>
      </c>
      <c r="E209" s="937">
        <v>0</v>
      </c>
      <c r="F209" s="937">
        <v>0</v>
      </c>
      <c r="G209" s="937">
        <v>0</v>
      </c>
      <c r="H209" s="937">
        <v>0</v>
      </c>
      <c r="I209" s="938" t="s">
        <v>1388</v>
      </c>
      <c r="J209" s="365"/>
    </row>
    <row r="210" spans="1:10" ht="13.2" x14ac:dyDescent="0.25">
      <c r="A210" s="160">
        <f t="shared" si="5"/>
        <v>526</v>
      </c>
      <c r="B210" s="589" t="s">
        <v>1388</v>
      </c>
      <c r="C210" s="936" t="s">
        <v>1388</v>
      </c>
      <c r="D210" s="937">
        <v>0</v>
      </c>
      <c r="E210" s="937">
        <v>0</v>
      </c>
      <c r="F210" s="937">
        <v>0</v>
      </c>
      <c r="G210" s="937">
        <v>0</v>
      </c>
      <c r="H210" s="937">
        <v>0</v>
      </c>
      <c r="I210" s="938" t="s">
        <v>1388</v>
      </c>
      <c r="J210" s="365"/>
    </row>
    <row r="211" spans="1:10" ht="13.2" x14ac:dyDescent="0.25">
      <c r="A211" s="160">
        <f t="shared" si="5"/>
        <v>527</v>
      </c>
      <c r="B211" s="589" t="s">
        <v>1388</v>
      </c>
      <c r="C211" s="936" t="s">
        <v>1388</v>
      </c>
      <c r="D211" s="937">
        <v>0</v>
      </c>
      <c r="E211" s="937">
        <v>0</v>
      </c>
      <c r="F211" s="937">
        <v>0</v>
      </c>
      <c r="G211" s="937">
        <v>0</v>
      </c>
      <c r="H211" s="937">
        <v>0</v>
      </c>
      <c r="I211" s="938" t="s">
        <v>1388</v>
      </c>
      <c r="J211" s="365"/>
    </row>
    <row r="212" spans="1:10" ht="13.2" x14ac:dyDescent="0.25">
      <c r="A212" s="160">
        <f t="shared" si="5"/>
        <v>528</v>
      </c>
      <c r="B212" s="589" t="s">
        <v>1388</v>
      </c>
      <c r="C212" s="936" t="s">
        <v>1388</v>
      </c>
      <c r="D212" s="937">
        <v>0</v>
      </c>
      <c r="E212" s="937">
        <v>0</v>
      </c>
      <c r="F212" s="937">
        <v>0</v>
      </c>
      <c r="G212" s="937">
        <v>0</v>
      </c>
      <c r="H212" s="937">
        <v>0</v>
      </c>
      <c r="I212" s="938" t="s">
        <v>1388</v>
      </c>
      <c r="J212" s="365"/>
    </row>
    <row r="213" spans="1:10" ht="13.2" x14ac:dyDescent="0.25">
      <c r="A213" s="160">
        <f t="shared" si="5"/>
        <v>529</v>
      </c>
      <c r="B213" s="589" t="s">
        <v>1388</v>
      </c>
      <c r="C213" s="936" t="s">
        <v>1388</v>
      </c>
      <c r="D213" s="937">
        <v>0</v>
      </c>
      <c r="E213" s="937">
        <v>0</v>
      </c>
      <c r="F213" s="937">
        <v>0</v>
      </c>
      <c r="G213" s="937">
        <v>0</v>
      </c>
      <c r="H213" s="937">
        <v>0</v>
      </c>
      <c r="I213" s="938" t="s">
        <v>1388</v>
      </c>
      <c r="J213" s="365"/>
    </row>
    <row r="214" spans="1:10" ht="13.2" x14ac:dyDescent="0.25">
      <c r="A214" s="160">
        <f>+A213+1</f>
        <v>530</v>
      </c>
      <c r="B214" s="589" t="s">
        <v>1388</v>
      </c>
      <c r="C214" s="936" t="s">
        <v>1388</v>
      </c>
      <c r="D214" s="937">
        <v>0</v>
      </c>
      <c r="E214" s="937">
        <v>0</v>
      </c>
      <c r="F214" s="937">
        <v>0</v>
      </c>
      <c r="G214" s="937">
        <v>0</v>
      </c>
      <c r="H214" s="937">
        <v>0</v>
      </c>
      <c r="I214" s="938" t="s">
        <v>1388</v>
      </c>
      <c r="J214" s="365"/>
    </row>
    <row r="215" spans="1:10" ht="13.2" x14ac:dyDescent="0.25">
      <c r="A215" s="160">
        <f>+A214+1</f>
        <v>531</v>
      </c>
      <c r="B215" s="589" t="s">
        <v>1388</v>
      </c>
      <c r="C215" s="936" t="s">
        <v>1388</v>
      </c>
      <c r="D215" s="937">
        <v>0</v>
      </c>
      <c r="E215" s="937">
        <v>0</v>
      </c>
      <c r="F215" s="937">
        <v>0</v>
      </c>
      <c r="G215" s="937">
        <v>0</v>
      </c>
      <c r="H215" s="937">
        <v>0</v>
      </c>
      <c r="I215" s="938" t="s">
        <v>1388</v>
      </c>
      <c r="J215" s="365"/>
    </row>
    <row r="216" spans="1:10" ht="13.2" x14ac:dyDescent="0.25">
      <c r="A216" s="160">
        <f t="shared" si="5"/>
        <v>532</v>
      </c>
      <c r="B216" s="589" t="s">
        <v>1388</v>
      </c>
      <c r="C216" s="936" t="s">
        <v>1388</v>
      </c>
      <c r="D216" s="937">
        <v>0</v>
      </c>
      <c r="E216" s="937">
        <v>0</v>
      </c>
      <c r="F216" s="937">
        <v>0</v>
      </c>
      <c r="G216" s="937">
        <v>0</v>
      </c>
      <c r="H216" s="937">
        <v>0</v>
      </c>
      <c r="I216" s="938" t="s">
        <v>1388</v>
      </c>
      <c r="J216" s="365"/>
    </row>
    <row r="217" spans="1:10" ht="13.2" x14ac:dyDescent="0.25">
      <c r="A217" s="160">
        <f>+A216+1</f>
        <v>533</v>
      </c>
      <c r="B217" s="589" t="s">
        <v>1388</v>
      </c>
      <c r="C217" s="936" t="s">
        <v>1388</v>
      </c>
      <c r="D217" s="937">
        <v>0</v>
      </c>
      <c r="E217" s="937">
        <v>0</v>
      </c>
      <c r="F217" s="937">
        <v>0</v>
      </c>
      <c r="G217" s="937">
        <v>0</v>
      </c>
      <c r="H217" s="937">
        <v>0</v>
      </c>
      <c r="I217" s="938" t="s">
        <v>1388</v>
      </c>
      <c r="J217" s="365"/>
    </row>
    <row r="218" spans="1:10" ht="13.2" x14ac:dyDescent="0.25">
      <c r="A218" s="160">
        <f t="shared" si="5"/>
        <v>534</v>
      </c>
      <c r="B218" s="589" t="s">
        <v>1388</v>
      </c>
      <c r="C218" s="936" t="s">
        <v>1388</v>
      </c>
      <c r="D218" s="937">
        <v>0</v>
      </c>
      <c r="E218" s="937">
        <v>0</v>
      </c>
      <c r="F218" s="937">
        <v>0</v>
      </c>
      <c r="G218" s="937">
        <v>0</v>
      </c>
      <c r="H218" s="937">
        <v>0</v>
      </c>
      <c r="I218" s="938" t="s">
        <v>1388</v>
      </c>
      <c r="J218" s="365"/>
    </row>
    <row r="219" spans="1:10" ht="13.2" x14ac:dyDescent="0.25">
      <c r="A219" s="160">
        <f t="shared" si="5"/>
        <v>535</v>
      </c>
      <c r="B219" s="589" t="s">
        <v>1388</v>
      </c>
      <c r="C219" s="936" t="s">
        <v>1388</v>
      </c>
      <c r="D219" s="937">
        <v>0</v>
      </c>
      <c r="E219" s="937">
        <v>0</v>
      </c>
      <c r="F219" s="937">
        <v>0</v>
      </c>
      <c r="G219" s="937">
        <v>0</v>
      </c>
      <c r="H219" s="937">
        <v>0</v>
      </c>
      <c r="I219" s="938" t="s">
        <v>1388</v>
      </c>
      <c r="J219" s="365"/>
    </row>
    <row r="220" spans="1:10" ht="13.2" x14ac:dyDescent="0.25">
      <c r="A220" s="160">
        <f t="shared" si="5"/>
        <v>536</v>
      </c>
      <c r="B220" s="589" t="s">
        <v>1388</v>
      </c>
      <c r="C220" s="936" t="s">
        <v>1388</v>
      </c>
      <c r="D220" s="937">
        <v>0</v>
      </c>
      <c r="E220" s="937">
        <v>0</v>
      </c>
      <c r="F220" s="937">
        <v>0</v>
      </c>
      <c r="G220" s="937">
        <v>0</v>
      </c>
      <c r="H220" s="937">
        <v>0</v>
      </c>
      <c r="I220" s="938" t="s">
        <v>1388</v>
      </c>
      <c r="J220" s="365"/>
    </row>
    <row r="221" spans="1:10" ht="13.2" x14ac:dyDescent="0.25">
      <c r="A221" s="160">
        <f t="shared" si="5"/>
        <v>537</v>
      </c>
      <c r="B221" s="589" t="s">
        <v>1388</v>
      </c>
      <c r="C221" s="936" t="s">
        <v>1388</v>
      </c>
      <c r="D221" s="937">
        <v>0</v>
      </c>
      <c r="E221" s="937">
        <v>0</v>
      </c>
      <c r="F221" s="937">
        <v>0</v>
      </c>
      <c r="G221" s="937">
        <v>0</v>
      </c>
      <c r="H221" s="937">
        <v>0</v>
      </c>
      <c r="I221" s="938" t="s">
        <v>1388</v>
      </c>
      <c r="J221" s="365"/>
    </row>
    <row r="222" spans="1:10" ht="13.2" x14ac:dyDescent="0.25">
      <c r="A222" s="160">
        <f t="shared" si="5"/>
        <v>538</v>
      </c>
      <c r="B222" s="589" t="s">
        <v>1388</v>
      </c>
      <c r="C222" s="936" t="s">
        <v>1388</v>
      </c>
      <c r="D222" s="937">
        <v>0</v>
      </c>
      <c r="E222" s="937">
        <v>0</v>
      </c>
      <c r="F222" s="937">
        <v>0</v>
      </c>
      <c r="G222" s="937">
        <v>0</v>
      </c>
      <c r="H222" s="937">
        <v>0</v>
      </c>
      <c r="I222" s="938" t="s">
        <v>1388</v>
      </c>
      <c r="J222" s="365"/>
    </row>
    <row r="223" spans="1:10" ht="13.2" x14ac:dyDescent="0.25">
      <c r="A223" s="160">
        <f t="shared" si="5"/>
        <v>539</v>
      </c>
      <c r="B223" s="589" t="s">
        <v>1388</v>
      </c>
      <c r="C223" s="936" t="s">
        <v>1388</v>
      </c>
      <c r="D223" s="937">
        <v>0</v>
      </c>
      <c r="E223" s="937">
        <v>0</v>
      </c>
      <c r="F223" s="937">
        <v>0</v>
      </c>
      <c r="G223" s="937">
        <v>0</v>
      </c>
      <c r="H223" s="937">
        <v>0</v>
      </c>
      <c r="I223" s="938" t="s">
        <v>1388</v>
      </c>
      <c r="J223" s="365"/>
    </row>
    <row r="224" spans="1:10" ht="13.2" x14ac:dyDescent="0.25">
      <c r="A224" s="94"/>
      <c r="B224" s="518"/>
      <c r="C224" s="519"/>
      <c r="D224" s="520"/>
      <c r="E224" s="206"/>
      <c r="F224" s="206"/>
      <c r="G224" s="206"/>
      <c r="H224" s="206"/>
      <c r="I224" s="208"/>
      <c r="J224" s="208"/>
    </row>
    <row r="225" spans="1:10" ht="13.2" x14ac:dyDescent="0.25">
      <c r="A225" s="94"/>
      <c r="B225" s="576" t="s">
        <v>1594</v>
      </c>
      <c r="C225" s="600"/>
      <c r="D225" s="592"/>
      <c r="E225" s="204"/>
      <c r="F225" s="204"/>
      <c r="G225" s="204"/>
      <c r="H225" s="204"/>
      <c r="I225" s="202"/>
      <c r="J225" s="208"/>
    </row>
    <row r="226" spans="1:10" ht="13.2" x14ac:dyDescent="0.25">
      <c r="A226" s="94"/>
      <c r="B226" s="576"/>
      <c r="C226" s="76" t="s">
        <v>363</v>
      </c>
      <c r="D226" s="76" t="s">
        <v>347</v>
      </c>
      <c r="E226" s="76" t="s">
        <v>348</v>
      </c>
      <c r="F226" s="76" t="s">
        <v>349</v>
      </c>
      <c r="G226" s="76" t="s">
        <v>350</v>
      </c>
      <c r="H226" s="76" t="s">
        <v>351</v>
      </c>
      <c r="I226" s="76" t="s">
        <v>352</v>
      </c>
      <c r="J226" s="208"/>
    </row>
    <row r="227" spans="1:10" ht="13.2" x14ac:dyDescent="0.25">
      <c r="A227" s="94"/>
      <c r="B227" s="580"/>
      <c r="C227" s="580"/>
      <c r="D227" s="601" t="s">
        <v>1572</v>
      </c>
      <c r="E227" s="601" t="s">
        <v>1573</v>
      </c>
      <c r="F227" s="601"/>
      <c r="G227" s="601"/>
      <c r="H227" s="601" t="s">
        <v>1282</v>
      </c>
      <c r="I227" s="899" t="s">
        <v>1899</v>
      </c>
      <c r="J227" s="208"/>
    </row>
    <row r="228" spans="1:10" ht="13.2" x14ac:dyDescent="0.25">
      <c r="A228" s="94"/>
      <c r="B228" s="583" t="s">
        <v>1593</v>
      </c>
      <c r="C228" s="583" t="s">
        <v>1575</v>
      </c>
      <c r="D228" s="602" t="s">
        <v>1576</v>
      </c>
      <c r="E228" s="602" t="s">
        <v>1577</v>
      </c>
      <c r="F228" s="602" t="s">
        <v>1578</v>
      </c>
      <c r="G228" s="602" t="s">
        <v>1579</v>
      </c>
      <c r="H228" s="602" t="s">
        <v>1567</v>
      </c>
      <c r="I228" s="583" t="s">
        <v>101</v>
      </c>
      <c r="J228" s="208"/>
    </row>
    <row r="229" spans="1:10" ht="13.2" x14ac:dyDescent="0.25">
      <c r="A229" s="94"/>
      <c r="B229" s="577" t="s">
        <v>1595</v>
      </c>
      <c r="C229" s="580"/>
      <c r="D229" s="601"/>
      <c r="E229" s="601"/>
      <c r="F229" s="601"/>
      <c r="G229" s="601"/>
      <c r="H229" s="601"/>
      <c r="I229" s="580"/>
      <c r="J229" s="208"/>
    </row>
    <row r="230" spans="1:10" ht="13.2" x14ac:dyDescent="0.25">
      <c r="A230" s="160">
        <f>A223+1</f>
        <v>540</v>
      </c>
      <c r="B230" s="589" t="s">
        <v>1388</v>
      </c>
      <c r="C230" s="936" t="s">
        <v>1388</v>
      </c>
      <c r="D230" s="937">
        <v>0</v>
      </c>
      <c r="E230" s="937">
        <v>0</v>
      </c>
      <c r="F230" s="937">
        <v>0</v>
      </c>
      <c r="G230" s="937">
        <v>0</v>
      </c>
      <c r="H230" s="937">
        <v>0</v>
      </c>
      <c r="I230" s="938" t="s">
        <v>1388</v>
      </c>
      <c r="J230" s="365"/>
    </row>
    <row r="231" spans="1:10" ht="13.2" x14ac:dyDescent="0.25">
      <c r="A231" s="160">
        <f t="shared" si="5"/>
        <v>541</v>
      </c>
      <c r="B231" s="589" t="s">
        <v>1388</v>
      </c>
      <c r="C231" s="936" t="s">
        <v>1388</v>
      </c>
      <c r="D231" s="937">
        <v>0</v>
      </c>
      <c r="E231" s="937">
        <v>0</v>
      </c>
      <c r="F231" s="937">
        <v>0</v>
      </c>
      <c r="G231" s="937">
        <v>0</v>
      </c>
      <c r="H231" s="937">
        <v>0</v>
      </c>
      <c r="I231" s="938" t="s">
        <v>1388</v>
      </c>
      <c r="J231" s="365"/>
    </row>
    <row r="232" spans="1:10" ht="13.2" x14ac:dyDescent="0.25">
      <c r="A232" s="160">
        <f t="shared" si="5"/>
        <v>542</v>
      </c>
      <c r="B232" s="589" t="s">
        <v>1388</v>
      </c>
      <c r="C232" s="936" t="s">
        <v>1388</v>
      </c>
      <c r="D232" s="937">
        <v>0</v>
      </c>
      <c r="E232" s="937">
        <v>0</v>
      </c>
      <c r="F232" s="937">
        <v>0</v>
      </c>
      <c r="G232" s="937">
        <v>0</v>
      </c>
      <c r="H232" s="937">
        <v>0</v>
      </c>
      <c r="I232" s="938" t="s">
        <v>1388</v>
      </c>
      <c r="J232" s="365"/>
    </row>
    <row r="233" spans="1:10" ht="13.2" x14ac:dyDescent="0.25">
      <c r="A233" s="160">
        <f t="shared" si="5"/>
        <v>543</v>
      </c>
      <c r="B233" s="589" t="s">
        <v>1388</v>
      </c>
      <c r="C233" s="936" t="s">
        <v>1388</v>
      </c>
      <c r="D233" s="937">
        <v>0</v>
      </c>
      <c r="E233" s="937">
        <v>0</v>
      </c>
      <c r="F233" s="937">
        <v>0</v>
      </c>
      <c r="G233" s="937">
        <v>0</v>
      </c>
      <c r="H233" s="937">
        <v>0</v>
      </c>
      <c r="I233" s="938" t="s">
        <v>1388</v>
      </c>
      <c r="J233" s="365"/>
    </row>
    <row r="234" spans="1:10" ht="13.2" x14ac:dyDescent="0.25">
      <c r="A234" s="160">
        <f t="shared" si="5"/>
        <v>544</v>
      </c>
      <c r="B234" s="589" t="s">
        <v>1388</v>
      </c>
      <c r="C234" s="936" t="s">
        <v>1388</v>
      </c>
      <c r="D234" s="937">
        <v>0</v>
      </c>
      <c r="E234" s="937">
        <v>0</v>
      </c>
      <c r="F234" s="937">
        <v>0</v>
      </c>
      <c r="G234" s="937">
        <v>0</v>
      </c>
      <c r="H234" s="937">
        <v>0</v>
      </c>
      <c r="I234" s="938" t="s">
        <v>1388</v>
      </c>
      <c r="J234" s="365"/>
    </row>
    <row r="235" spans="1:10" ht="13.2" x14ac:dyDescent="0.25">
      <c r="A235" s="160">
        <f t="shared" si="5"/>
        <v>545</v>
      </c>
      <c r="B235" s="589" t="s">
        <v>1388</v>
      </c>
      <c r="C235" s="936" t="s">
        <v>1388</v>
      </c>
      <c r="D235" s="937">
        <v>0</v>
      </c>
      <c r="E235" s="937">
        <v>0</v>
      </c>
      <c r="F235" s="937">
        <v>0</v>
      </c>
      <c r="G235" s="937">
        <v>0</v>
      </c>
      <c r="H235" s="937">
        <v>0</v>
      </c>
      <c r="I235" s="938" t="s">
        <v>1388</v>
      </c>
      <c r="J235" s="365"/>
    </row>
    <row r="236" spans="1:10" ht="13.2" x14ac:dyDescent="0.25">
      <c r="A236" s="160">
        <f t="shared" si="5"/>
        <v>546</v>
      </c>
      <c r="B236" s="589" t="s">
        <v>1388</v>
      </c>
      <c r="C236" s="936" t="s">
        <v>1388</v>
      </c>
      <c r="D236" s="937">
        <v>0</v>
      </c>
      <c r="E236" s="937">
        <v>0</v>
      </c>
      <c r="F236" s="937">
        <v>0</v>
      </c>
      <c r="G236" s="937">
        <v>0</v>
      </c>
      <c r="H236" s="937">
        <v>0</v>
      </c>
      <c r="I236" s="938" t="s">
        <v>1388</v>
      </c>
      <c r="J236" s="365"/>
    </row>
    <row r="237" spans="1:10" ht="13.2" x14ac:dyDescent="0.25">
      <c r="A237" s="160">
        <f t="shared" si="5"/>
        <v>547</v>
      </c>
      <c r="B237" s="589" t="s">
        <v>1388</v>
      </c>
      <c r="C237" s="936" t="s">
        <v>1388</v>
      </c>
      <c r="D237" s="937">
        <v>0</v>
      </c>
      <c r="E237" s="937">
        <v>0</v>
      </c>
      <c r="F237" s="937">
        <v>0</v>
      </c>
      <c r="G237" s="937">
        <v>0</v>
      </c>
      <c r="H237" s="937">
        <v>0</v>
      </c>
      <c r="I237" s="938" t="s">
        <v>1388</v>
      </c>
      <c r="J237" s="365"/>
    </row>
    <row r="238" spans="1:10" ht="13.2" x14ac:dyDescent="0.25">
      <c r="A238" s="160">
        <f t="shared" si="5"/>
        <v>548</v>
      </c>
      <c r="B238" s="589" t="s">
        <v>1388</v>
      </c>
      <c r="C238" s="936" t="s">
        <v>1388</v>
      </c>
      <c r="D238" s="937">
        <v>0</v>
      </c>
      <c r="E238" s="937">
        <v>0</v>
      </c>
      <c r="F238" s="937">
        <v>0</v>
      </c>
      <c r="G238" s="937">
        <v>0</v>
      </c>
      <c r="H238" s="937">
        <v>0</v>
      </c>
      <c r="I238" s="938" t="s">
        <v>1388</v>
      </c>
      <c r="J238" s="365"/>
    </row>
    <row r="239" spans="1:10" ht="13.2" x14ac:dyDescent="0.25">
      <c r="A239" s="160">
        <f t="shared" si="5"/>
        <v>549</v>
      </c>
      <c r="B239" s="589" t="s">
        <v>1388</v>
      </c>
      <c r="C239" s="936" t="s">
        <v>1388</v>
      </c>
      <c r="D239" s="937">
        <v>0</v>
      </c>
      <c r="E239" s="937">
        <v>0</v>
      </c>
      <c r="F239" s="937">
        <v>0</v>
      </c>
      <c r="G239" s="937">
        <v>0</v>
      </c>
      <c r="H239" s="937">
        <v>0</v>
      </c>
      <c r="I239" s="938" t="s">
        <v>1388</v>
      </c>
      <c r="J239" s="365"/>
    </row>
    <row r="240" spans="1:10" ht="13.2" x14ac:dyDescent="0.25">
      <c r="A240" s="160">
        <f t="shared" si="5"/>
        <v>550</v>
      </c>
      <c r="B240" s="589" t="s">
        <v>1388</v>
      </c>
      <c r="C240" s="936" t="s">
        <v>1388</v>
      </c>
      <c r="D240" s="937">
        <v>0</v>
      </c>
      <c r="E240" s="937">
        <v>0</v>
      </c>
      <c r="F240" s="937">
        <v>0</v>
      </c>
      <c r="G240" s="937">
        <v>0</v>
      </c>
      <c r="H240" s="937">
        <v>0</v>
      </c>
      <c r="I240" s="938" t="s">
        <v>1388</v>
      </c>
      <c r="J240" s="365"/>
    </row>
    <row r="241" spans="1:10" ht="13.2" x14ac:dyDescent="0.25">
      <c r="A241" s="160">
        <f t="shared" si="5"/>
        <v>551</v>
      </c>
      <c r="B241" s="589" t="s">
        <v>1388</v>
      </c>
      <c r="C241" s="936" t="s">
        <v>1388</v>
      </c>
      <c r="D241" s="937">
        <v>0</v>
      </c>
      <c r="E241" s="937">
        <v>0</v>
      </c>
      <c r="F241" s="937">
        <v>0</v>
      </c>
      <c r="G241" s="937">
        <v>0</v>
      </c>
      <c r="H241" s="937">
        <v>0</v>
      </c>
      <c r="I241" s="938" t="s">
        <v>1388</v>
      </c>
      <c r="J241" s="365"/>
    </row>
    <row r="242" spans="1:10" ht="13.2" x14ac:dyDescent="0.25">
      <c r="A242" s="160">
        <f t="shared" si="5"/>
        <v>552</v>
      </c>
      <c r="B242" s="589" t="s">
        <v>1388</v>
      </c>
      <c r="C242" s="936" t="s">
        <v>1388</v>
      </c>
      <c r="D242" s="937">
        <v>0</v>
      </c>
      <c r="E242" s="937">
        <v>0</v>
      </c>
      <c r="F242" s="937">
        <v>0</v>
      </c>
      <c r="G242" s="937">
        <v>0</v>
      </c>
      <c r="H242" s="937">
        <v>0</v>
      </c>
      <c r="I242" s="938" t="s">
        <v>1388</v>
      </c>
      <c r="J242" s="365"/>
    </row>
    <row r="243" spans="1:10" ht="13.2" x14ac:dyDescent="0.25">
      <c r="A243" s="160">
        <f t="shared" si="5"/>
        <v>553</v>
      </c>
      <c r="B243" s="589" t="s">
        <v>1388</v>
      </c>
      <c r="C243" s="936" t="s">
        <v>1388</v>
      </c>
      <c r="D243" s="937">
        <v>0</v>
      </c>
      <c r="E243" s="937">
        <v>0</v>
      </c>
      <c r="F243" s="937">
        <v>0</v>
      </c>
      <c r="G243" s="937">
        <v>0</v>
      </c>
      <c r="H243" s="937">
        <v>0</v>
      </c>
      <c r="I243" s="938" t="s">
        <v>1388</v>
      </c>
      <c r="J243" s="365"/>
    </row>
    <row r="244" spans="1:10" ht="13.2" x14ac:dyDescent="0.25">
      <c r="A244" s="160">
        <f t="shared" si="5"/>
        <v>554</v>
      </c>
      <c r="B244" s="589" t="s">
        <v>1388</v>
      </c>
      <c r="C244" s="936" t="s">
        <v>1388</v>
      </c>
      <c r="D244" s="937">
        <v>0</v>
      </c>
      <c r="E244" s="937">
        <v>0</v>
      </c>
      <c r="F244" s="937">
        <v>0</v>
      </c>
      <c r="G244" s="937">
        <v>0</v>
      </c>
      <c r="H244" s="937">
        <v>0</v>
      </c>
      <c r="I244" s="938" t="s">
        <v>1388</v>
      </c>
      <c r="J244" s="365"/>
    </row>
    <row r="245" spans="1:10" ht="13.2" x14ac:dyDescent="0.25">
      <c r="A245" s="160">
        <f t="shared" si="5"/>
        <v>555</v>
      </c>
      <c r="B245" s="589" t="s">
        <v>1388</v>
      </c>
      <c r="C245" s="936" t="s">
        <v>1388</v>
      </c>
      <c r="D245" s="937">
        <v>0</v>
      </c>
      <c r="E245" s="937">
        <v>0</v>
      </c>
      <c r="F245" s="937">
        <v>0</v>
      </c>
      <c r="G245" s="937">
        <v>0</v>
      </c>
      <c r="H245" s="937">
        <v>0</v>
      </c>
      <c r="I245" s="938" t="s">
        <v>1388</v>
      </c>
      <c r="J245" s="365"/>
    </row>
    <row r="246" spans="1:10" ht="13.2" x14ac:dyDescent="0.25">
      <c r="A246" s="160">
        <f t="shared" si="5"/>
        <v>556</v>
      </c>
      <c r="B246" s="589" t="s">
        <v>1388</v>
      </c>
      <c r="C246" s="936" t="s">
        <v>1388</v>
      </c>
      <c r="D246" s="937">
        <v>0</v>
      </c>
      <c r="E246" s="937">
        <v>0</v>
      </c>
      <c r="F246" s="937">
        <v>0</v>
      </c>
      <c r="G246" s="937">
        <v>0</v>
      </c>
      <c r="H246" s="937">
        <v>0</v>
      </c>
      <c r="I246" s="938" t="s">
        <v>1388</v>
      </c>
      <c r="J246" s="365"/>
    </row>
    <row r="247" spans="1:10" ht="13.2" x14ac:dyDescent="0.25">
      <c r="A247" s="160">
        <f t="shared" si="5"/>
        <v>557</v>
      </c>
      <c r="B247" s="589" t="s">
        <v>1388</v>
      </c>
      <c r="C247" s="936" t="s">
        <v>1388</v>
      </c>
      <c r="D247" s="937">
        <v>0</v>
      </c>
      <c r="E247" s="937">
        <v>0</v>
      </c>
      <c r="F247" s="937">
        <v>0</v>
      </c>
      <c r="G247" s="937">
        <v>0</v>
      </c>
      <c r="H247" s="937">
        <v>0</v>
      </c>
      <c r="I247" s="938" t="s">
        <v>1388</v>
      </c>
      <c r="J247" s="365"/>
    </row>
    <row r="248" spans="1:10" ht="13.2" x14ac:dyDescent="0.25">
      <c r="A248" s="160">
        <f t="shared" si="5"/>
        <v>558</v>
      </c>
      <c r="B248" s="589" t="s">
        <v>1388</v>
      </c>
      <c r="C248" s="936" t="s">
        <v>1388</v>
      </c>
      <c r="D248" s="937">
        <v>0</v>
      </c>
      <c r="E248" s="937">
        <v>0</v>
      </c>
      <c r="F248" s="937">
        <v>0</v>
      </c>
      <c r="G248" s="937">
        <v>0</v>
      </c>
      <c r="H248" s="937">
        <v>0</v>
      </c>
      <c r="I248" s="938" t="s">
        <v>1388</v>
      </c>
      <c r="J248" s="365"/>
    </row>
    <row r="249" spans="1:10" ht="13.2" x14ac:dyDescent="0.25">
      <c r="A249" s="160">
        <f t="shared" ref="A249:A278" si="6">A248+1</f>
        <v>559</v>
      </c>
      <c r="B249" s="589" t="s">
        <v>1388</v>
      </c>
      <c r="C249" s="936" t="s">
        <v>1388</v>
      </c>
      <c r="D249" s="937">
        <v>0</v>
      </c>
      <c r="E249" s="937">
        <v>0</v>
      </c>
      <c r="F249" s="937">
        <v>0</v>
      </c>
      <c r="G249" s="937">
        <v>0</v>
      </c>
      <c r="H249" s="937">
        <v>0</v>
      </c>
      <c r="I249" s="938" t="s">
        <v>1388</v>
      </c>
      <c r="J249" s="365"/>
    </row>
    <row r="250" spans="1:10" ht="13.2" x14ac:dyDescent="0.25">
      <c r="A250" s="160">
        <f t="shared" si="6"/>
        <v>560</v>
      </c>
      <c r="B250" s="589" t="s">
        <v>1388</v>
      </c>
      <c r="C250" s="936" t="s">
        <v>1388</v>
      </c>
      <c r="D250" s="937">
        <v>0</v>
      </c>
      <c r="E250" s="937">
        <v>0</v>
      </c>
      <c r="F250" s="937">
        <v>0</v>
      </c>
      <c r="G250" s="937">
        <v>0</v>
      </c>
      <c r="H250" s="937">
        <v>0</v>
      </c>
      <c r="I250" s="938" t="s">
        <v>1388</v>
      </c>
      <c r="J250" s="365"/>
    </row>
    <row r="251" spans="1:10" ht="13.2" x14ac:dyDescent="0.25">
      <c r="A251" s="160">
        <f t="shared" si="6"/>
        <v>561</v>
      </c>
      <c r="B251" s="589" t="s">
        <v>1388</v>
      </c>
      <c r="C251" s="936" t="s">
        <v>1388</v>
      </c>
      <c r="D251" s="937">
        <v>0</v>
      </c>
      <c r="E251" s="937">
        <v>0</v>
      </c>
      <c r="F251" s="937">
        <v>0</v>
      </c>
      <c r="G251" s="937">
        <v>0</v>
      </c>
      <c r="H251" s="937">
        <v>0</v>
      </c>
      <c r="I251" s="938" t="s">
        <v>1388</v>
      </c>
      <c r="J251" s="365"/>
    </row>
    <row r="252" spans="1:10" ht="13.2" x14ac:dyDescent="0.25">
      <c r="A252" s="160">
        <f t="shared" si="6"/>
        <v>562</v>
      </c>
      <c r="B252" s="589" t="s">
        <v>1388</v>
      </c>
      <c r="C252" s="936" t="s">
        <v>1388</v>
      </c>
      <c r="D252" s="937">
        <v>0</v>
      </c>
      <c r="E252" s="937">
        <v>0</v>
      </c>
      <c r="F252" s="937">
        <v>0</v>
      </c>
      <c r="G252" s="937">
        <v>0</v>
      </c>
      <c r="H252" s="937">
        <v>0</v>
      </c>
      <c r="I252" s="938" t="s">
        <v>1388</v>
      </c>
      <c r="J252" s="365"/>
    </row>
    <row r="253" spans="1:10" ht="13.2" x14ac:dyDescent="0.25">
      <c r="A253" s="160">
        <f t="shared" si="6"/>
        <v>563</v>
      </c>
      <c r="B253" s="589" t="s">
        <v>1388</v>
      </c>
      <c r="C253" s="936" t="s">
        <v>1388</v>
      </c>
      <c r="D253" s="937">
        <v>0</v>
      </c>
      <c r="E253" s="937">
        <v>0</v>
      </c>
      <c r="F253" s="937">
        <v>0</v>
      </c>
      <c r="G253" s="937">
        <v>0</v>
      </c>
      <c r="H253" s="937">
        <v>0</v>
      </c>
      <c r="I253" s="938" t="s">
        <v>1388</v>
      </c>
      <c r="J253" s="365"/>
    </row>
    <row r="254" spans="1:10" ht="13.2" x14ac:dyDescent="0.25">
      <c r="A254" s="160">
        <f t="shared" si="6"/>
        <v>564</v>
      </c>
      <c r="B254" s="589" t="s">
        <v>1388</v>
      </c>
      <c r="C254" s="936" t="s">
        <v>1388</v>
      </c>
      <c r="D254" s="937">
        <v>0</v>
      </c>
      <c r="E254" s="937">
        <v>0</v>
      </c>
      <c r="F254" s="937">
        <v>0</v>
      </c>
      <c r="G254" s="937">
        <v>0</v>
      </c>
      <c r="H254" s="937">
        <v>0</v>
      </c>
      <c r="I254" s="938" t="s">
        <v>1388</v>
      </c>
      <c r="J254" s="365"/>
    </row>
    <row r="255" spans="1:10" ht="13.2" x14ac:dyDescent="0.25">
      <c r="A255" s="160">
        <f t="shared" si="6"/>
        <v>565</v>
      </c>
      <c r="B255" s="589" t="s">
        <v>1388</v>
      </c>
      <c r="C255" s="936" t="s">
        <v>1388</v>
      </c>
      <c r="D255" s="937">
        <v>0</v>
      </c>
      <c r="E255" s="937">
        <v>0</v>
      </c>
      <c r="F255" s="937">
        <v>0</v>
      </c>
      <c r="G255" s="937">
        <v>0</v>
      </c>
      <c r="H255" s="937">
        <v>0</v>
      </c>
      <c r="I255" s="938" t="s">
        <v>1388</v>
      </c>
      <c r="J255" s="365"/>
    </row>
    <row r="256" spans="1:10" ht="13.2" x14ac:dyDescent="0.25">
      <c r="A256" s="160">
        <f t="shared" si="6"/>
        <v>566</v>
      </c>
      <c r="B256" s="589" t="s">
        <v>1388</v>
      </c>
      <c r="C256" s="936" t="s">
        <v>1388</v>
      </c>
      <c r="D256" s="937">
        <v>0</v>
      </c>
      <c r="E256" s="937">
        <v>0</v>
      </c>
      <c r="F256" s="937">
        <v>0</v>
      </c>
      <c r="G256" s="937">
        <v>0</v>
      </c>
      <c r="H256" s="937">
        <v>0</v>
      </c>
      <c r="I256" s="938" t="s">
        <v>1388</v>
      </c>
      <c r="J256" s="698"/>
    </row>
    <row r="257" spans="1:10" ht="13.2" x14ac:dyDescent="0.25">
      <c r="A257" s="160">
        <f t="shared" si="6"/>
        <v>567</v>
      </c>
      <c r="B257" s="589" t="s">
        <v>1388</v>
      </c>
      <c r="C257" s="936" t="s">
        <v>1388</v>
      </c>
      <c r="D257" s="937">
        <v>0</v>
      </c>
      <c r="E257" s="937">
        <v>0</v>
      </c>
      <c r="F257" s="937">
        <v>0</v>
      </c>
      <c r="G257" s="937">
        <v>0</v>
      </c>
      <c r="H257" s="937">
        <v>0</v>
      </c>
      <c r="I257" s="938" t="s">
        <v>1388</v>
      </c>
      <c r="J257" s="365"/>
    </row>
    <row r="258" spans="1:10" ht="13.2" x14ac:dyDescent="0.25">
      <c r="A258" s="160">
        <f t="shared" si="6"/>
        <v>568</v>
      </c>
      <c r="B258" s="589" t="s">
        <v>1388</v>
      </c>
      <c r="C258" s="936" t="s">
        <v>1388</v>
      </c>
      <c r="D258" s="937">
        <v>0</v>
      </c>
      <c r="E258" s="937">
        <v>0</v>
      </c>
      <c r="F258" s="937">
        <v>0</v>
      </c>
      <c r="G258" s="937">
        <v>0</v>
      </c>
      <c r="H258" s="937">
        <v>0</v>
      </c>
      <c r="I258" s="938" t="s">
        <v>1388</v>
      </c>
      <c r="J258" s="365"/>
    </row>
    <row r="259" spans="1:10" ht="13.2" x14ac:dyDescent="0.25">
      <c r="A259" s="160">
        <f t="shared" si="6"/>
        <v>569</v>
      </c>
      <c r="B259" s="521" t="s">
        <v>510</v>
      </c>
      <c r="C259" s="517"/>
      <c r="D259" s="522"/>
      <c r="E259" s="207"/>
      <c r="F259" s="207"/>
      <c r="G259" s="207"/>
      <c r="H259" s="207"/>
      <c r="I259" s="365"/>
      <c r="J259" s="365"/>
    </row>
    <row r="260" spans="1:10" ht="13.2" x14ac:dyDescent="0.25">
      <c r="A260" s="94"/>
      <c r="B260" s="523"/>
      <c r="C260" s="524"/>
      <c r="D260" s="446"/>
      <c r="E260" s="206"/>
      <c r="F260" s="206"/>
      <c r="G260" s="206"/>
      <c r="H260" s="206"/>
      <c r="I260" s="208"/>
      <c r="J260" s="208"/>
    </row>
    <row r="261" spans="1:10" ht="13.2" x14ac:dyDescent="0.25">
      <c r="A261" s="94">
        <v>650</v>
      </c>
      <c r="B261" s="524"/>
      <c r="C261" s="524" t="s">
        <v>1596</v>
      </c>
      <c r="D261" s="446">
        <f>SUM(D184:D223)+SUM(D230:D258)</f>
        <v>0</v>
      </c>
      <c r="E261" s="446">
        <f>SUM(E184:E223)+SUM(E230:E258)</f>
        <v>0</v>
      </c>
      <c r="F261" s="446">
        <f>SUM(F184:F223)+SUM(F230:F258)</f>
        <v>0</v>
      </c>
      <c r="G261" s="446">
        <f>SUM(G184:G223)+SUM(G230:G258)</f>
        <v>0</v>
      </c>
      <c r="H261" s="446">
        <f>SUM(H184:H223)+SUM(H230:H258)</f>
        <v>0</v>
      </c>
      <c r="I261" s="213" t="str">
        <f>"Sum of Above Lines beginning on Line "&amp;A184&amp;""</f>
        <v>Sum of Above Lines beginning on Line 500</v>
      </c>
      <c r="J261" s="202"/>
    </row>
    <row r="262" spans="1:10" ht="13.2" x14ac:dyDescent="0.25">
      <c r="A262" s="94"/>
      <c r="B262" s="524"/>
      <c r="C262" s="524"/>
      <c r="D262" s="446"/>
      <c r="E262" s="446"/>
      <c r="F262" s="446"/>
      <c r="G262" s="446"/>
      <c r="H262" s="446"/>
      <c r="I262" s="512"/>
      <c r="J262" s="202"/>
    </row>
    <row r="263" spans="1:10" ht="13.2" x14ac:dyDescent="0.25">
      <c r="A263" s="547"/>
      <c r="B263" s="587" t="s">
        <v>1722</v>
      </c>
      <c r="C263" s="524"/>
      <c r="D263" s="446"/>
      <c r="E263" s="204"/>
      <c r="F263" s="204"/>
      <c r="G263" s="204"/>
      <c r="H263" s="204"/>
      <c r="I263" s="899" t="s">
        <v>1899</v>
      </c>
      <c r="J263" s="202"/>
    </row>
    <row r="264" spans="1:10" x14ac:dyDescent="0.3">
      <c r="A264" s="547"/>
      <c r="C264" s="76" t="s">
        <v>363</v>
      </c>
      <c r="D264" s="76" t="s">
        <v>347</v>
      </c>
      <c r="E264" s="76" t="s">
        <v>348</v>
      </c>
      <c r="F264" s="76" t="s">
        <v>349</v>
      </c>
      <c r="G264" s="76" t="s">
        <v>350</v>
      </c>
      <c r="H264" s="76" t="s">
        <v>351</v>
      </c>
      <c r="I264" s="76" t="s">
        <v>352</v>
      </c>
      <c r="J264" s="202"/>
    </row>
    <row r="265" spans="1:10" ht="13.2" x14ac:dyDescent="0.25">
      <c r="A265" s="160">
        <v>700</v>
      </c>
      <c r="B265" s="589" t="s">
        <v>1388</v>
      </c>
      <c r="C265" s="936" t="s">
        <v>1388</v>
      </c>
      <c r="D265" s="937">
        <v>0</v>
      </c>
      <c r="E265" s="937">
        <v>0</v>
      </c>
      <c r="F265" s="937">
        <v>0</v>
      </c>
      <c r="G265" s="937">
        <v>0</v>
      </c>
      <c r="H265" s="937">
        <v>0</v>
      </c>
      <c r="I265" s="938" t="s">
        <v>1388</v>
      </c>
      <c r="J265" s="697"/>
    </row>
    <row r="266" spans="1:10" ht="13.2" x14ac:dyDescent="0.25">
      <c r="A266" s="160">
        <f t="shared" si="6"/>
        <v>701</v>
      </c>
      <c r="B266" s="589" t="s">
        <v>1388</v>
      </c>
      <c r="C266" s="936" t="s">
        <v>1388</v>
      </c>
      <c r="D266" s="937">
        <v>0</v>
      </c>
      <c r="E266" s="937">
        <v>0</v>
      </c>
      <c r="F266" s="937">
        <v>0</v>
      </c>
      <c r="G266" s="937">
        <v>0</v>
      </c>
      <c r="H266" s="937">
        <v>0</v>
      </c>
      <c r="I266" s="938" t="s">
        <v>1388</v>
      </c>
      <c r="J266" s="697"/>
    </row>
    <row r="267" spans="1:10" ht="13.2" x14ac:dyDescent="0.25">
      <c r="A267" s="160">
        <f t="shared" si="6"/>
        <v>702</v>
      </c>
      <c r="B267" s="589" t="s">
        <v>1388</v>
      </c>
      <c r="C267" s="936" t="s">
        <v>1388</v>
      </c>
      <c r="D267" s="937">
        <v>0</v>
      </c>
      <c r="E267" s="937">
        <v>0</v>
      </c>
      <c r="F267" s="937">
        <v>0</v>
      </c>
      <c r="G267" s="937">
        <v>0</v>
      </c>
      <c r="H267" s="937">
        <v>0</v>
      </c>
      <c r="I267" s="938" t="s">
        <v>1388</v>
      </c>
      <c r="J267" s="697"/>
    </row>
    <row r="268" spans="1:10" ht="13.2" x14ac:dyDescent="0.25">
      <c r="A268" s="160">
        <f t="shared" si="6"/>
        <v>703</v>
      </c>
      <c r="B268" s="589" t="s">
        <v>1388</v>
      </c>
      <c r="C268" s="936" t="s">
        <v>1388</v>
      </c>
      <c r="D268" s="937">
        <v>0</v>
      </c>
      <c r="E268" s="937">
        <v>0</v>
      </c>
      <c r="F268" s="937">
        <v>0</v>
      </c>
      <c r="G268" s="937">
        <v>0</v>
      </c>
      <c r="H268" s="937">
        <v>0</v>
      </c>
      <c r="I268" s="938" t="s">
        <v>1388</v>
      </c>
      <c r="J268" s="697"/>
    </row>
    <row r="269" spans="1:10" ht="13.2" x14ac:dyDescent="0.25">
      <c r="A269" s="160">
        <f t="shared" si="6"/>
        <v>704</v>
      </c>
      <c r="B269" s="589" t="s">
        <v>1388</v>
      </c>
      <c r="C269" s="936" t="s">
        <v>1388</v>
      </c>
      <c r="D269" s="937">
        <v>0</v>
      </c>
      <c r="E269" s="937">
        <v>0</v>
      </c>
      <c r="F269" s="937">
        <v>0</v>
      </c>
      <c r="G269" s="937">
        <v>0</v>
      </c>
      <c r="H269" s="937">
        <v>0</v>
      </c>
      <c r="I269" s="938" t="s">
        <v>1388</v>
      </c>
      <c r="J269" s="697"/>
    </row>
    <row r="270" spans="1:10" ht="13.2" x14ac:dyDescent="0.25">
      <c r="A270" s="160">
        <f t="shared" si="6"/>
        <v>705</v>
      </c>
      <c r="B270" s="589" t="s">
        <v>1388</v>
      </c>
      <c r="C270" s="936" t="s">
        <v>1388</v>
      </c>
      <c r="D270" s="937">
        <v>0</v>
      </c>
      <c r="E270" s="937">
        <v>0</v>
      </c>
      <c r="F270" s="937">
        <v>0</v>
      </c>
      <c r="G270" s="937">
        <v>0</v>
      </c>
      <c r="H270" s="937">
        <v>0</v>
      </c>
      <c r="I270" s="938" t="s">
        <v>1388</v>
      </c>
      <c r="J270" s="697"/>
    </row>
    <row r="271" spans="1:10" ht="13.2" x14ac:dyDescent="0.25">
      <c r="A271" s="160">
        <f t="shared" si="6"/>
        <v>706</v>
      </c>
      <c r="B271" s="589" t="s">
        <v>1388</v>
      </c>
      <c r="C271" s="936" t="s">
        <v>1388</v>
      </c>
      <c r="D271" s="937">
        <v>0</v>
      </c>
      <c r="E271" s="937">
        <v>0</v>
      </c>
      <c r="F271" s="937">
        <v>0</v>
      </c>
      <c r="G271" s="937">
        <v>0</v>
      </c>
      <c r="H271" s="937">
        <v>0</v>
      </c>
      <c r="I271" s="938" t="s">
        <v>1388</v>
      </c>
      <c r="J271" s="697"/>
    </row>
    <row r="272" spans="1:10" ht="13.2" x14ac:dyDescent="0.25">
      <c r="A272" s="160">
        <f t="shared" si="6"/>
        <v>707</v>
      </c>
      <c r="B272" s="589" t="s">
        <v>1388</v>
      </c>
      <c r="C272" s="936" t="s">
        <v>1388</v>
      </c>
      <c r="D272" s="937">
        <v>0</v>
      </c>
      <c r="E272" s="937">
        <v>0</v>
      </c>
      <c r="F272" s="937">
        <v>0</v>
      </c>
      <c r="G272" s="937">
        <v>0</v>
      </c>
      <c r="H272" s="937">
        <v>0</v>
      </c>
      <c r="I272" s="938" t="s">
        <v>1388</v>
      </c>
      <c r="J272" s="365"/>
    </row>
    <row r="273" spans="1:10" ht="13.2" x14ac:dyDescent="0.25">
      <c r="A273" s="160">
        <f t="shared" si="6"/>
        <v>708</v>
      </c>
      <c r="B273" s="589" t="s">
        <v>1388</v>
      </c>
      <c r="C273" s="936" t="s">
        <v>1388</v>
      </c>
      <c r="D273" s="937">
        <v>0</v>
      </c>
      <c r="E273" s="937">
        <v>0</v>
      </c>
      <c r="F273" s="937">
        <v>0</v>
      </c>
      <c r="G273" s="937">
        <v>0</v>
      </c>
      <c r="H273" s="937">
        <v>0</v>
      </c>
      <c r="I273" s="938" t="s">
        <v>1388</v>
      </c>
      <c r="J273" s="365"/>
    </row>
    <row r="274" spans="1:10" ht="13.2" x14ac:dyDescent="0.25">
      <c r="A274" s="160">
        <f t="shared" si="6"/>
        <v>709</v>
      </c>
      <c r="B274" s="589" t="s">
        <v>1388</v>
      </c>
      <c r="C274" s="936" t="s">
        <v>1388</v>
      </c>
      <c r="D274" s="937">
        <v>0</v>
      </c>
      <c r="E274" s="937">
        <v>0</v>
      </c>
      <c r="F274" s="937">
        <v>0</v>
      </c>
      <c r="G274" s="937">
        <v>0</v>
      </c>
      <c r="H274" s="937">
        <v>0</v>
      </c>
      <c r="I274" s="938" t="s">
        <v>1388</v>
      </c>
      <c r="J274" s="365"/>
    </row>
    <row r="275" spans="1:10" ht="13.2" x14ac:dyDescent="0.25">
      <c r="A275" s="160">
        <f t="shared" si="6"/>
        <v>710</v>
      </c>
      <c r="B275" s="589" t="s">
        <v>1388</v>
      </c>
      <c r="C275" s="936" t="s">
        <v>1388</v>
      </c>
      <c r="D275" s="937">
        <v>0</v>
      </c>
      <c r="E275" s="937">
        <v>0</v>
      </c>
      <c r="F275" s="937">
        <v>0</v>
      </c>
      <c r="G275" s="937">
        <v>0</v>
      </c>
      <c r="H275" s="937">
        <v>0</v>
      </c>
      <c r="I275" s="938" t="s">
        <v>1388</v>
      </c>
      <c r="J275" s="365"/>
    </row>
    <row r="276" spans="1:10" ht="13.2" x14ac:dyDescent="0.25">
      <c r="A276" s="160">
        <f t="shared" si="6"/>
        <v>711</v>
      </c>
      <c r="B276" s="589" t="s">
        <v>1388</v>
      </c>
      <c r="C276" s="936" t="s">
        <v>1388</v>
      </c>
      <c r="D276" s="937">
        <v>0</v>
      </c>
      <c r="E276" s="937">
        <v>0</v>
      </c>
      <c r="F276" s="937">
        <v>0</v>
      </c>
      <c r="G276" s="937">
        <v>0</v>
      </c>
      <c r="H276" s="937">
        <v>0</v>
      </c>
      <c r="I276" s="938" t="s">
        <v>1388</v>
      </c>
      <c r="J276" s="365"/>
    </row>
    <row r="277" spans="1:10" ht="13.2" x14ac:dyDescent="0.25">
      <c r="A277" s="160">
        <f t="shared" si="6"/>
        <v>712</v>
      </c>
      <c r="B277" s="589" t="s">
        <v>1388</v>
      </c>
      <c r="C277" s="936" t="s">
        <v>1388</v>
      </c>
      <c r="D277" s="937">
        <v>0</v>
      </c>
      <c r="E277" s="937">
        <v>0</v>
      </c>
      <c r="F277" s="937">
        <v>0</v>
      </c>
      <c r="G277" s="937">
        <v>0</v>
      </c>
      <c r="H277" s="937">
        <v>0</v>
      </c>
      <c r="I277" s="938" t="s">
        <v>1388</v>
      </c>
      <c r="J277" s="365"/>
    </row>
    <row r="278" spans="1:10" ht="13.2" x14ac:dyDescent="0.25">
      <c r="A278" s="160">
        <f t="shared" si="6"/>
        <v>713</v>
      </c>
      <c r="B278" s="525" t="s">
        <v>510</v>
      </c>
      <c r="C278" s="515"/>
      <c r="D278" s="516"/>
      <c r="E278" s="207"/>
      <c r="F278" s="207"/>
      <c r="G278" s="207"/>
      <c r="H278" s="207"/>
      <c r="I278" s="365"/>
      <c r="J278" s="365"/>
    </row>
    <row r="279" spans="1:10" ht="13.2" x14ac:dyDescent="0.25">
      <c r="A279" s="94"/>
      <c r="B279" s="518"/>
      <c r="C279" s="519"/>
      <c r="D279" s="520"/>
      <c r="E279" s="206"/>
      <c r="F279" s="206"/>
      <c r="G279" s="206"/>
      <c r="H279" s="206"/>
      <c r="I279" s="208"/>
      <c r="J279" s="208"/>
    </row>
    <row r="280" spans="1:10" ht="13.2" x14ac:dyDescent="0.25">
      <c r="A280" s="94"/>
      <c r="B280" s="524"/>
      <c r="C280" s="76" t="s">
        <v>363</v>
      </c>
      <c r="D280" s="76" t="s">
        <v>347</v>
      </c>
      <c r="E280" s="76" t="s">
        <v>348</v>
      </c>
      <c r="F280" s="76" t="s">
        <v>349</v>
      </c>
      <c r="G280" s="76" t="s">
        <v>350</v>
      </c>
      <c r="H280" s="76" t="s">
        <v>351</v>
      </c>
      <c r="I280" s="326" t="s">
        <v>180</v>
      </c>
      <c r="J280" s="202"/>
    </row>
    <row r="281" spans="1:10" ht="13.2" x14ac:dyDescent="0.25">
      <c r="A281" s="94">
        <v>800</v>
      </c>
      <c r="B281" s="202"/>
      <c r="C281" s="445" t="s">
        <v>1597</v>
      </c>
      <c r="D281" s="924">
        <v>0</v>
      </c>
      <c r="E281" s="924">
        <v>0</v>
      </c>
      <c r="F281" s="924">
        <v>0</v>
      </c>
      <c r="G281" s="924">
        <v>0</v>
      </c>
      <c r="H281" s="924">
        <v>0</v>
      </c>
      <c r="I281" s="213" t="str">
        <f>"Sum of Above Lines beginning on Line "&amp;A265&amp;""</f>
        <v>Sum of Above Lines beginning on Line 700</v>
      </c>
      <c r="J281" s="202"/>
    </row>
    <row r="282" spans="1:10" ht="13.2" x14ac:dyDescent="0.25">
      <c r="A282" s="94"/>
      <c r="B282" s="202"/>
      <c r="C282" s="445"/>
      <c r="D282" s="446"/>
      <c r="E282" s="446"/>
      <c r="F282" s="446"/>
      <c r="G282" s="446"/>
      <c r="H282" s="446"/>
      <c r="I282" s="213"/>
      <c r="J282" s="202"/>
    </row>
    <row r="283" spans="1:10" ht="13.2" x14ac:dyDescent="0.25">
      <c r="A283" s="94">
        <f>A281+1</f>
        <v>801</v>
      </c>
      <c r="B283" s="202"/>
      <c r="C283" s="445" t="s">
        <v>1598</v>
      </c>
      <c r="D283" s="924">
        <v>0</v>
      </c>
      <c r="E283" s="924">
        <v>0</v>
      </c>
      <c r="F283" s="924">
        <v>0</v>
      </c>
      <c r="G283" s="924">
        <v>0</v>
      </c>
      <c r="H283" s="924">
        <v>0</v>
      </c>
      <c r="I283" s="511" t="str">
        <f>"Line "&amp;A261&amp;" + Line "&amp;A281&amp;""</f>
        <v>Line 650 + Line 800</v>
      </c>
      <c r="J283" s="202"/>
    </row>
    <row r="284" spans="1:10" ht="13.2" x14ac:dyDescent="0.25">
      <c r="A284" s="528">
        <f>+A283+1</f>
        <v>802</v>
      </c>
      <c r="B284" s="577"/>
      <c r="C284" s="577" t="s">
        <v>1630</v>
      </c>
      <c r="D284" s="965"/>
      <c r="E284" s="965"/>
      <c r="F284" s="965"/>
      <c r="G284" s="931" t="s">
        <v>2193</v>
      </c>
      <c r="H284" s="931" t="s">
        <v>2193</v>
      </c>
      <c r="I284" s="699" t="str">
        <f>"27-Allocators Lines "&amp;'27-Allocators'!A28&amp;" and "&amp;'27-Allocators'!A15&amp;" respectively."</f>
        <v>27-Allocators Lines 22 and 9 respectively.</v>
      </c>
      <c r="J284" s="202"/>
    </row>
    <row r="285" spans="1:10" ht="13.2" x14ac:dyDescent="0.25">
      <c r="A285" s="528">
        <f>+A284+1</f>
        <v>803</v>
      </c>
      <c r="B285" s="577"/>
      <c r="C285" s="577" t="s">
        <v>1634</v>
      </c>
      <c r="D285" s="924">
        <v>0</v>
      </c>
      <c r="E285" s="592"/>
      <c r="F285" s="924">
        <v>0</v>
      </c>
      <c r="G285" s="924">
        <v>0</v>
      </c>
      <c r="H285" s="924">
        <v>0</v>
      </c>
      <c r="I285" s="511" t="str">
        <f>"Line "&amp;A283&amp;" * Line "&amp;A284&amp;" for Cols 5 and 6.  Col. 4 100% ISO."</f>
        <v>Line 801 * Line 802 for Cols 5 and 6.  Col. 4 100% ISO.</v>
      </c>
      <c r="J285" s="202"/>
    </row>
    <row r="286" spans="1:10" ht="13.2" x14ac:dyDescent="0.25">
      <c r="A286" s="94"/>
      <c r="B286" s="202"/>
      <c r="C286" s="594" t="s">
        <v>1633</v>
      </c>
      <c r="D286" s="446"/>
      <c r="E286" s="446"/>
      <c r="F286" s="446"/>
      <c r="G286" s="446"/>
      <c r="H286" s="446"/>
      <c r="I286" s="511"/>
      <c r="J286" s="204"/>
    </row>
    <row r="287" spans="1:10" ht="13.2" x14ac:dyDescent="0.25">
      <c r="A287" s="94"/>
      <c r="B287" s="202"/>
      <c r="C287" s="445"/>
      <c r="D287" s="446"/>
      <c r="E287" s="446"/>
      <c r="F287" s="446"/>
      <c r="G287" s="446"/>
      <c r="H287" s="446"/>
      <c r="I287" s="511"/>
      <c r="J287" s="202"/>
    </row>
    <row r="288" spans="1:10" x14ac:dyDescent="0.3">
      <c r="A288" s="94">
        <f>A285+1</f>
        <v>804</v>
      </c>
      <c r="C288" s="577" t="s">
        <v>1624</v>
      </c>
      <c r="D288" s="937">
        <v>0</v>
      </c>
      <c r="E288" s="596" t="str">
        <f>"Must match amount on Line "&amp;A283&amp;", Col. 2"</f>
        <v>Must match amount on Line 801, Col. 2</v>
      </c>
      <c r="F288" s="592"/>
      <c r="G288" s="592"/>
      <c r="H288" s="592"/>
      <c r="I288" s="213" t="s">
        <v>1226</v>
      </c>
    </row>
    <row r="289" spans="1:10" x14ac:dyDescent="0.3">
      <c r="A289" s="94"/>
      <c r="C289" s="577"/>
      <c r="D289" s="596"/>
      <c r="E289" s="596"/>
      <c r="F289" s="592"/>
      <c r="G289" s="592"/>
      <c r="H289" s="592"/>
      <c r="I289" s="213"/>
    </row>
    <row r="290" spans="1:10" x14ac:dyDescent="0.3">
      <c r="A290" s="94"/>
      <c r="B290" s="1" t="s">
        <v>2496</v>
      </c>
      <c r="C290" s="577"/>
      <c r="D290" s="596"/>
      <c r="E290" s="596"/>
      <c r="F290" s="592"/>
      <c r="G290" s="592"/>
      <c r="H290" s="592"/>
      <c r="I290" s="447"/>
      <c r="J290" s="529"/>
    </row>
    <row r="291" spans="1:10" x14ac:dyDescent="0.3">
      <c r="A291" s="94"/>
      <c r="B291" s="529"/>
      <c r="C291" s="318" t="s">
        <v>363</v>
      </c>
      <c r="D291" s="318" t="s">
        <v>347</v>
      </c>
      <c r="E291" s="318" t="s">
        <v>348</v>
      </c>
      <c r="F291" s="318" t="s">
        <v>349</v>
      </c>
      <c r="G291" s="318" t="s">
        <v>350</v>
      </c>
      <c r="H291" s="318" t="s">
        <v>351</v>
      </c>
      <c r="I291" s="318" t="s">
        <v>352</v>
      </c>
      <c r="J291" s="318" t="s">
        <v>541</v>
      </c>
    </row>
    <row r="292" spans="1:10" x14ac:dyDescent="0.3">
      <c r="A292" s="94"/>
      <c r="B292" s="529"/>
      <c r="C292" s="577"/>
      <c r="D292" s="1093" t="s">
        <v>213</v>
      </c>
      <c r="E292" s="1093" t="s">
        <v>212</v>
      </c>
      <c r="F292" s="592"/>
      <c r="G292" s="592"/>
      <c r="H292" s="1093" t="s">
        <v>2497</v>
      </c>
      <c r="I292" s="1094" t="s">
        <v>2498</v>
      </c>
      <c r="J292" s="1093" t="s">
        <v>284</v>
      </c>
    </row>
    <row r="293" spans="1:10" x14ac:dyDescent="0.3">
      <c r="A293" s="94"/>
      <c r="B293" s="529"/>
      <c r="C293" s="577"/>
      <c r="D293" s="596"/>
      <c r="E293" s="596"/>
      <c r="F293" s="592"/>
      <c r="G293" s="592"/>
      <c r="H293" s="592"/>
      <c r="I293" s="447"/>
      <c r="J293" s="529"/>
    </row>
    <row r="294" spans="1:10" x14ac:dyDescent="0.3">
      <c r="A294" s="94"/>
      <c r="B294" s="529"/>
      <c r="C294" s="616"/>
      <c r="D294" s="1093" t="s">
        <v>2499</v>
      </c>
      <c r="E294" s="1093" t="s">
        <v>2500</v>
      </c>
      <c r="F294" s="1093"/>
      <c r="G294" s="1093" t="s">
        <v>2501</v>
      </c>
      <c r="H294" s="1093" t="s">
        <v>2502</v>
      </c>
      <c r="I294" s="547" t="s">
        <v>2503</v>
      </c>
      <c r="J294" s="547" t="s">
        <v>2504</v>
      </c>
    </row>
    <row r="295" spans="1:10" x14ac:dyDescent="0.3">
      <c r="A295" s="94"/>
      <c r="B295" s="529"/>
      <c r="C295" s="616" t="s">
        <v>2505</v>
      </c>
      <c r="D295" s="1088" t="s">
        <v>2506</v>
      </c>
      <c r="E295" s="1088" t="s">
        <v>2507</v>
      </c>
      <c r="F295" s="1088" t="s">
        <v>2508</v>
      </c>
      <c r="G295" s="1088" t="s">
        <v>2509</v>
      </c>
      <c r="H295" s="1088" t="s">
        <v>2510</v>
      </c>
      <c r="I295" s="3" t="s">
        <v>2511</v>
      </c>
      <c r="J295" s="3" t="s">
        <v>2512</v>
      </c>
    </row>
    <row r="296" spans="1:10" x14ac:dyDescent="0.3">
      <c r="A296" s="94">
        <f>A288+1</f>
        <v>805</v>
      </c>
      <c r="B296" s="529"/>
      <c r="C296" s="1089" t="s">
        <v>2675</v>
      </c>
      <c r="D296" s="596"/>
      <c r="E296" s="924">
        <v>0</v>
      </c>
      <c r="F296" s="592"/>
      <c r="G296" s="1090" t="s">
        <v>1388</v>
      </c>
      <c r="H296" s="1091" t="s">
        <v>2193</v>
      </c>
      <c r="I296" s="1090"/>
      <c r="J296" s="924">
        <v>0</v>
      </c>
    </row>
    <row r="297" spans="1:10" x14ac:dyDescent="0.3">
      <c r="A297" s="94">
        <f>A296+1</f>
        <v>806</v>
      </c>
      <c r="B297" s="529"/>
      <c r="C297" s="1089" t="s">
        <v>182</v>
      </c>
      <c r="D297" s="924">
        <v>0</v>
      </c>
      <c r="E297" s="924">
        <v>0</v>
      </c>
      <c r="F297" s="1092" t="s">
        <v>1388</v>
      </c>
      <c r="G297" s="1090" t="s">
        <v>1388</v>
      </c>
      <c r="H297" s="1091" t="s">
        <v>2193</v>
      </c>
      <c r="I297" s="924">
        <v>0</v>
      </c>
      <c r="J297" s="924">
        <v>0</v>
      </c>
    </row>
    <row r="298" spans="1:10" x14ac:dyDescent="0.3">
      <c r="A298" s="94">
        <f t="shared" ref="A298:A310" si="7">A297+1</f>
        <v>807</v>
      </c>
      <c r="B298" s="529"/>
      <c r="C298" s="1089" t="s">
        <v>183</v>
      </c>
      <c r="D298" s="924">
        <v>0</v>
      </c>
      <c r="E298" s="924">
        <v>0</v>
      </c>
      <c r="F298" s="1092" t="s">
        <v>1388</v>
      </c>
      <c r="G298" s="1090" t="s">
        <v>1388</v>
      </c>
      <c r="H298" s="1091" t="s">
        <v>2193</v>
      </c>
      <c r="I298" s="924">
        <v>0</v>
      </c>
      <c r="J298" s="924">
        <v>0</v>
      </c>
    </row>
    <row r="299" spans="1:10" x14ac:dyDescent="0.3">
      <c r="A299" s="94">
        <f t="shared" si="7"/>
        <v>808</v>
      </c>
      <c r="B299" s="529"/>
      <c r="C299" s="1089" t="s">
        <v>196</v>
      </c>
      <c r="D299" s="924">
        <v>0</v>
      </c>
      <c r="E299" s="924">
        <v>0</v>
      </c>
      <c r="F299" s="1092" t="s">
        <v>1388</v>
      </c>
      <c r="G299" s="1090" t="s">
        <v>1388</v>
      </c>
      <c r="H299" s="1091" t="s">
        <v>2193</v>
      </c>
      <c r="I299" s="924">
        <v>0</v>
      </c>
      <c r="J299" s="924">
        <v>0</v>
      </c>
    </row>
    <row r="300" spans="1:10" x14ac:dyDescent="0.3">
      <c r="A300" s="94">
        <f t="shared" si="7"/>
        <v>809</v>
      </c>
      <c r="B300" s="529"/>
      <c r="C300" s="1089" t="s">
        <v>184</v>
      </c>
      <c r="D300" s="924">
        <v>0</v>
      </c>
      <c r="E300" s="924">
        <v>0</v>
      </c>
      <c r="F300" s="1092" t="s">
        <v>1388</v>
      </c>
      <c r="G300" s="1090" t="s">
        <v>1388</v>
      </c>
      <c r="H300" s="1091" t="s">
        <v>2193</v>
      </c>
      <c r="I300" s="924">
        <v>0</v>
      </c>
      <c r="J300" s="924">
        <v>0</v>
      </c>
    </row>
    <row r="301" spans="1:10" x14ac:dyDescent="0.3">
      <c r="A301" s="94">
        <f t="shared" si="7"/>
        <v>810</v>
      </c>
      <c r="B301" s="529"/>
      <c r="C301" s="1089" t="s">
        <v>185</v>
      </c>
      <c r="D301" s="924">
        <v>0</v>
      </c>
      <c r="E301" s="924">
        <v>0</v>
      </c>
      <c r="F301" s="1092" t="s">
        <v>1388</v>
      </c>
      <c r="G301" s="1090" t="s">
        <v>1388</v>
      </c>
      <c r="H301" s="1091" t="s">
        <v>2193</v>
      </c>
      <c r="I301" s="924">
        <v>0</v>
      </c>
      <c r="J301" s="924">
        <v>0</v>
      </c>
    </row>
    <row r="302" spans="1:10" x14ac:dyDescent="0.3">
      <c r="A302" s="94">
        <f t="shared" si="7"/>
        <v>811</v>
      </c>
      <c r="B302" s="529"/>
      <c r="C302" s="1089" t="s">
        <v>1475</v>
      </c>
      <c r="D302" s="924">
        <v>0</v>
      </c>
      <c r="E302" s="924">
        <v>0</v>
      </c>
      <c r="F302" s="1092" t="s">
        <v>1388</v>
      </c>
      <c r="G302" s="1090" t="s">
        <v>1388</v>
      </c>
      <c r="H302" s="1091" t="s">
        <v>2193</v>
      </c>
      <c r="I302" s="924">
        <v>0</v>
      </c>
      <c r="J302" s="924">
        <v>0</v>
      </c>
    </row>
    <row r="303" spans="1:10" x14ac:dyDescent="0.3">
      <c r="A303" s="94">
        <f t="shared" si="7"/>
        <v>812</v>
      </c>
      <c r="B303" s="529"/>
      <c r="C303" s="1089" t="s">
        <v>187</v>
      </c>
      <c r="D303" s="924">
        <v>0</v>
      </c>
      <c r="E303" s="924">
        <v>0</v>
      </c>
      <c r="F303" s="1092" t="s">
        <v>1388</v>
      </c>
      <c r="G303" s="1090" t="s">
        <v>1388</v>
      </c>
      <c r="H303" s="1091" t="s">
        <v>2193</v>
      </c>
      <c r="I303" s="924">
        <v>0</v>
      </c>
      <c r="J303" s="924">
        <v>0</v>
      </c>
    </row>
    <row r="304" spans="1:10" x14ac:dyDescent="0.3">
      <c r="A304" s="94">
        <f t="shared" si="7"/>
        <v>813</v>
      </c>
      <c r="B304" s="529"/>
      <c r="C304" s="1089" t="s">
        <v>188</v>
      </c>
      <c r="D304" s="924">
        <v>0</v>
      </c>
      <c r="E304" s="924">
        <v>0</v>
      </c>
      <c r="F304" s="1092" t="s">
        <v>1388</v>
      </c>
      <c r="G304" s="1090" t="s">
        <v>1388</v>
      </c>
      <c r="H304" s="1091" t="s">
        <v>2193</v>
      </c>
      <c r="I304" s="924">
        <v>0</v>
      </c>
      <c r="J304" s="924">
        <v>0</v>
      </c>
    </row>
    <row r="305" spans="1:10" x14ac:dyDescent="0.3">
      <c r="A305" s="94">
        <f t="shared" si="7"/>
        <v>814</v>
      </c>
      <c r="B305" s="529"/>
      <c r="C305" s="1089" t="s">
        <v>189</v>
      </c>
      <c r="D305" s="924">
        <v>0</v>
      </c>
      <c r="E305" s="924">
        <v>0</v>
      </c>
      <c r="F305" s="1092" t="s">
        <v>1388</v>
      </c>
      <c r="G305" s="1090" t="s">
        <v>1388</v>
      </c>
      <c r="H305" s="1091" t="s">
        <v>2193</v>
      </c>
      <c r="I305" s="924">
        <v>0</v>
      </c>
      <c r="J305" s="924">
        <v>0</v>
      </c>
    </row>
    <row r="306" spans="1:10" x14ac:dyDescent="0.3">
      <c r="A306" s="94">
        <f t="shared" si="7"/>
        <v>815</v>
      </c>
      <c r="B306" s="529"/>
      <c r="C306" s="1089" t="s">
        <v>192</v>
      </c>
      <c r="D306" s="924">
        <v>0</v>
      </c>
      <c r="E306" s="924">
        <v>0</v>
      </c>
      <c r="F306" s="1092" t="s">
        <v>1388</v>
      </c>
      <c r="G306" s="1090" t="s">
        <v>1388</v>
      </c>
      <c r="H306" s="1091" t="s">
        <v>2193</v>
      </c>
      <c r="I306" s="924">
        <v>0</v>
      </c>
      <c r="J306" s="924">
        <v>0</v>
      </c>
    </row>
    <row r="307" spans="1:10" x14ac:dyDescent="0.3">
      <c r="A307" s="94">
        <f t="shared" si="7"/>
        <v>816</v>
      </c>
      <c r="B307" s="529"/>
      <c r="C307" s="1089" t="s">
        <v>191</v>
      </c>
      <c r="D307" s="924">
        <v>0</v>
      </c>
      <c r="E307" s="924">
        <v>0</v>
      </c>
      <c r="F307" s="1092" t="s">
        <v>1388</v>
      </c>
      <c r="G307" s="1090" t="s">
        <v>1388</v>
      </c>
      <c r="H307" s="1091" t="s">
        <v>2193</v>
      </c>
      <c r="I307" s="924">
        <v>0</v>
      </c>
      <c r="J307" s="924">
        <v>0</v>
      </c>
    </row>
    <row r="308" spans="1:10" x14ac:dyDescent="0.3">
      <c r="A308" s="94">
        <f t="shared" si="7"/>
        <v>817</v>
      </c>
      <c r="B308" s="529"/>
      <c r="C308" s="1089" t="s">
        <v>181</v>
      </c>
      <c r="D308" s="924">
        <v>0</v>
      </c>
      <c r="E308" s="924">
        <v>0</v>
      </c>
      <c r="F308" s="1092" t="s">
        <v>1388</v>
      </c>
      <c r="G308" s="1090" t="s">
        <v>1388</v>
      </c>
      <c r="H308" s="1091" t="s">
        <v>2193</v>
      </c>
      <c r="I308" s="924">
        <v>0</v>
      </c>
      <c r="J308" s="924">
        <v>0</v>
      </c>
    </row>
    <row r="309" spans="1:10" x14ac:dyDescent="0.3">
      <c r="A309" s="94">
        <f t="shared" si="7"/>
        <v>818</v>
      </c>
      <c r="B309" s="529"/>
      <c r="C309" s="1089" t="s">
        <v>2676</v>
      </c>
      <c r="D309" s="924"/>
      <c r="E309" s="924">
        <v>0</v>
      </c>
      <c r="F309" s="592"/>
      <c r="G309" s="592"/>
      <c r="H309" s="592"/>
      <c r="I309" s="447"/>
      <c r="J309" s="924"/>
    </row>
    <row r="310" spans="1:10" x14ac:dyDescent="0.3">
      <c r="A310" s="94">
        <f t="shared" si="7"/>
        <v>819</v>
      </c>
      <c r="B310" s="529"/>
      <c r="C310" s="577"/>
      <c r="D310" s="596"/>
      <c r="E310" s="596"/>
      <c r="F310" s="592"/>
      <c r="G310" s="592"/>
      <c r="H310" s="592"/>
      <c r="I310" s="466" t="s">
        <v>2513</v>
      </c>
      <c r="J310" s="924">
        <v>0</v>
      </c>
    </row>
    <row r="311" spans="1:10" x14ac:dyDescent="0.3">
      <c r="B311"/>
      <c r="C311" s="208" t="s">
        <v>1900</v>
      </c>
      <c r="D311" s="208"/>
      <c r="E311" s="208"/>
      <c r="F311" s="208"/>
      <c r="G311" s="208"/>
      <c r="J311"/>
    </row>
    <row r="312" spans="1:10" x14ac:dyDescent="0.3">
      <c r="B312"/>
      <c r="C312" s="208" t="s">
        <v>1901</v>
      </c>
      <c r="D312" s="208"/>
      <c r="E312" s="208"/>
      <c r="F312" s="208"/>
      <c r="G312" s="208"/>
      <c r="J312"/>
    </row>
    <row r="313" spans="1:10" x14ac:dyDescent="0.3">
      <c r="B313"/>
      <c r="C313" s="208"/>
      <c r="D313" s="208"/>
      <c r="E313" s="208"/>
      <c r="F313" s="208"/>
      <c r="G313" s="208"/>
      <c r="J313"/>
    </row>
    <row r="314" spans="1:10" x14ac:dyDescent="0.3">
      <c r="B314"/>
      <c r="C314" s="208" t="s">
        <v>1902</v>
      </c>
      <c r="D314" s="208"/>
      <c r="E314" s="208"/>
      <c r="F314" s="208"/>
      <c r="G314" s="208"/>
      <c r="J314"/>
    </row>
    <row r="315" spans="1:10" x14ac:dyDescent="0.3">
      <c r="B315" s="443" t="s">
        <v>331</v>
      </c>
      <c r="C315" s="208" t="s">
        <v>1903</v>
      </c>
      <c r="D315" s="208"/>
      <c r="E315" s="208"/>
      <c r="F315" s="208"/>
      <c r="G315" s="208"/>
      <c r="J315"/>
    </row>
    <row r="316" spans="1:10" x14ac:dyDescent="0.3">
      <c r="B316"/>
      <c r="C316" s="208" t="s">
        <v>1904</v>
      </c>
      <c r="D316" s="208"/>
      <c r="E316" s="208"/>
      <c r="F316" s="208"/>
      <c r="G316" s="208"/>
      <c r="J316"/>
    </row>
    <row r="317" spans="1:10" x14ac:dyDescent="0.3">
      <c r="B317"/>
      <c r="C317" s="13"/>
      <c r="D317" s="13"/>
      <c r="E317" s="94" t="s">
        <v>170</v>
      </c>
      <c r="F317" s="13"/>
      <c r="G317" s="863" t="s">
        <v>64</v>
      </c>
      <c r="J317"/>
    </row>
    <row r="318" spans="1:10" x14ac:dyDescent="0.3">
      <c r="B318"/>
      <c r="C318" s="13"/>
      <c r="D318" s="13"/>
      <c r="E318" s="104" t="s">
        <v>171</v>
      </c>
      <c r="F318" s="13"/>
      <c r="G318" s="104" t="s">
        <v>172</v>
      </c>
      <c r="J318"/>
    </row>
    <row r="319" spans="1:10" ht="14.4" x14ac:dyDescent="0.3">
      <c r="B319"/>
      <c r="C319" s="866" t="s">
        <v>1905</v>
      </c>
      <c r="D319" s="900"/>
      <c r="E319" s="445" t="s">
        <v>286</v>
      </c>
      <c r="F319" s="900"/>
      <c r="G319" s="937">
        <v>0</v>
      </c>
      <c r="I319" s="603"/>
      <c r="J319"/>
    </row>
    <row r="320" spans="1:10" ht="14.4" x14ac:dyDescent="0.3">
      <c r="B320"/>
      <c r="C320" s="442" t="s">
        <v>1906</v>
      </c>
      <c r="D320" s="900"/>
      <c r="E320" s="445" t="s">
        <v>1907</v>
      </c>
      <c r="F320" s="900"/>
      <c r="G320" s="937">
        <v>0</v>
      </c>
      <c r="I320" s="603"/>
      <c r="J320"/>
    </row>
    <row r="321" spans="2:10" ht="14.4" x14ac:dyDescent="0.3">
      <c r="B321"/>
      <c r="C321" s="442" t="s">
        <v>1908</v>
      </c>
      <c r="D321" s="900"/>
      <c r="E321" s="445" t="s">
        <v>1909</v>
      </c>
      <c r="F321" s="900"/>
      <c r="G321" s="937">
        <v>0</v>
      </c>
      <c r="I321" s="603"/>
      <c r="J321"/>
    </row>
    <row r="322" spans="2:10" ht="14.4" x14ac:dyDescent="0.3">
      <c r="B322"/>
      <c r="C322" s="866" t="s">
        <v>1910</v>
      </c>
      <c r="D322" s="900"/>
      <c r="E322" s="445" t="s">
        <v>1911</v>
      </c>
      <c r="F322" s="900"/>
      <c r="G322" s="924">
        <v>0</v>
      </c>
      <c r="J322"/>
    </row>
    <row r="323" spans="2:10" x14ac:dyDescent="0.3">
      <c r="B323"/>
      <c r="C323" s="96" t="s">
        <v>1912</v>
      </c>
      <c r="D323" s="13"/>
      <c r="E323" s="565" t="s">
        <v>1913</v>
      </c>
      <c r="F323" s="13"/>
      <c r="G323" s="926" t="s">
        <v>2193</v>
      </c>
      <c r="J323"/>
    </row>
    <row r="324" spans="2:10" x14ac:dyDescent="0.3">
      <c r="B324"/>
      <c r="C324" s="886" t="s">
        <v>1914</v>
      </c>
      <c r="D324" s="604"/>
      <c r="E324" s="604"/>
      <c r="F324" s="604"/>
      <c r="G324" s="604"/>
      <c r="J324"/>
    </row>
    <row r="325" spans="2:10" x14ac:dyDescent="0.3">
      <c r="B325"/>
      <c r="C325" s="13"/>
      <c r="D325" s="13"/>
      <c r="E325" s="94" t="s">
        <v>170</v>
      </c>
      <c r="F325" s="13"/>
      <c r="G325" s="863" t="s">
        <v>64</v>
      </c>
      <c r="J325"/>
    </row>
    <row r="326" spans="2:10" x14ac:dyDescent="0.3">
      <c r="B326"/>
      <c r="C326" s="13"/>
      <c r="D326" s="13"/>
      <c r="E326" s="104" t="s">
        <v>171</v>
      </c>
      <c r="F326" s="13"/>
      <c r="G326" s="104" t="s">
        <v>172</v>
      </c>
      <c r="J326"/>
    </row>
    <row r="327" spans="2:10" ht="14.4" x14ac:dyDescent="0.3">
      <c r="B327"/>
      <c r="C327" s="442" t="s">
        <v>1915</v>
      </c>
      <c r="D327" s="900"/>
      <c r="E327" s="445" t="s">
        <v>34</v>
      </c>
      <c r="F327" s="900"/>
      <c r="G327" s="937">
        <v>0</v>
      </c>
      <c r="I327" s="603"/>
      <c r="J327"/>
    </row>
    <row r="328" spans="2:10" ht="14.4" x14ac:dyDescent="0.3">
      <c r="B328"/>
      <c r="C328" s="442" t="s">
        <v>1916</v>
      </c>
      <c r="D328" s="900"/>
      <c r="E328" s="445" t="s">
        <v>1917</v>
      </c>
      <c r="F328" s="900"/>
      <c r="G328" s="937">
        <v>0</v>
      </c>
      <c r="J328"/>
    </row>
    <row r="329" spans="2:10" ht="14.4" x14ac:dyDescent="0.3">
      <c r="B329"/>
      <c r="C329" s="442" t="s">
        <v>1918</v>
      </c>
      <c r="D329" s="900"/>
      <c r="E329" s="445" t="s">
        <v>1919</v>
      </c>
      <c r="F329" s="900"/>
      <c r="G329" s="937">
        <v>0</v>
      </c>
      <c r="I329" s="603"/>
      <c r="J329"/>
    </row>
    <row r="330" spans="2:10" ht="14.4" x14ac:dyDescent="0.3">
      <c r="B330"/>
      <c r="C330" s="442" t="s">
        <v>1920</v>
      </c>
      <c r="D330" s="900"/>
      <c r="E330" s="445" t="s">
        <v>1921</v>
      </c>
      <c r="F330" s="900"/>
      <c r="G330" s="924">
        <v>0</v>
      </c>
      <c r="H330" s="604"/>
      <c r="I330" s="604"/>
      <c r="J330" s="13"/>
    </row>
    <row r="331" spans="2:10" x14ac:dyDescent="0.3">
      <c r="B331"/>
      <c r="C331" s="442" t="s">
        <v>1922</v>
      </c>
      <c r="D331" s="13"/>
      <c r="E331" s="565" t="s">
        <v>1923</v>
      </c>
      <c r="F331" s="13"/>
      <c r="G331" s="926" t="s">
        <v>2193</v>
      </c>
      <c r="H331" s="604"/>
      <c r="I331" s="604"/>
      <c r="J331" s="13"/>
    </row>
    <row r="332" spans="2:10" ht="13.2" x14ac:dyDescent="0.25">
      <c r="B332"/>
      <c r="C332" s="208" t="s">
        <v>2657</v>
      </c>
      <c r="D332" s="208"/>
      <c r="E332" s="208"/>
      <c r="F332" s="208"/>
      <c r="G332" s="208"/>
      <c r="H332" s="208"/>
      <c r="I332" s="208"/>
      <c r="J332" s="445"/>
    </row>
    <row r="333" spans="2:10" x14ac:dyDescent="0.3">
      <c r="C333" s="844" t="s">
        <v>233</v>
      </c>
    </row>
    <row r="334" spans="2:10" x14ac:dyDescent="0.3">
      <c r="C334" s="445" t="s">
        <v>2514</v>
      </c>
    </row>
    <row r="335" spans="2:10" x14ac:dyDescent="0.3">
      <c r="C335" s="445" t="s">
        <v>2515</v>
      </c>
    </row>
    <row r="336" spans="2:10" x14ac:dyDescent="0.3">
      <c r="C336" s="445" t="s">
        <v>2516</v>
      </c>
    </row>
  </sheetData>
  <protectedRanges>
    <protectedRange password="F1C4" sqref="D20:E23 F20 E15:E19 D14:D15 D17:D18 B7:C30 E24 J32:J35 D25:F30" name="AAReport1_23_1_1_2"/>
    <protectedRange password="F1C4" sqref="D19" name="AAReport1_23_1_1_1_1"/>
    <protectedRange password="F1C4" sqref="B31:H72 B79:H111 C112:H112 D142 B118:H131 B148:H167 D176 B184:H223 B230:H258 B265:H277 D288 G327:G329 G319:G321" name="AAReport1_23_1_1"/>
  </protectedRanges>
  <phoneticPr fontId="9" type="noConversion"/>
  <conditionalFormatting sqref="B278:B279 D278:D279 B224 D224">
    <cfRule type="expression" dxfId="8" priority="5" stopIfTrue="1">
      <formula>Formulas</formula>
    </cfRule>
  </conditionalFormatting>
  <conditionalFormatting sqref="C278:C279 C224">
    <cfRule type="expression" dxfId="7" priority="3" stopIfTrue="1">
      <formula>#REF!&lt;&gt;""</formula>
    </cfRule>
  </conditionalFormatting>
  <pageMargins left="0.75" right="0.75" top="1" bottom="1" header="0.5" footer="0.5"/>
  <pageSetup scale="60" orientation="landscape" cellComments="asDisplayed" r:id="rId1"/>
  <headerFooter alignWithMargins="0">
    <oddHeader xml:space="preserve">&amp;C&amp;"Arial,Bold"Schedule 9
ADIT&amp;"Arial,Regular"
</oddHeader>
    <oddFooter>&amp;R&amp;A</oddFooter>
  </headerFooter>
  <rowBreaks count="6" manualBreakCount="6">
    <brk id="24" max="16383" man="1"/>
    <brk id="73" max="16383" man="1"/>
    <brk id="115" max="16383" man="1"/>
    <brk id="169" max="16383" man="1"/>
    <brk id="224" max="16383" man="1"/>
    <brk id="2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38" t="s">
        <v>540</v>
      </c>
      <c r="K1" s="1"/>
    </row>
    <row r="2" spans="1:12" x14ac:dyDescent="0.25">
      <c r="A2" s="38"/>
      <c r="K2" s="1"/>
    </row>
    <row r="3" spans="1:12" x14ac:dyDescent="0.25">
      <c r="A3" s="38"/>
      <c r="B3" s="443" t="s">
        <v>954</v>
      </c>
      <c r="K3" s="1"/>
    </row>
    <row r="4" spans="1:12" x14ac:dyDescent="0.25">
      <c r="B4" s="443" t="s">
        <v>544</v>
      </c>
      <c r="K4" s="1"/>
      <c r="L4" s="445"/>
    </row>
    <row r="5" spans="1:12" x14ac:dyDescent="0.25">
      <c r="B5" s="443"/>
      <c r="K5" s="1"/>
    </row>
    <row r="6" spans="1:12" x14ac:dyDescent="0.25">
      <c r="A6" s="445"/>
      <c r="B6" s="1" t="s">
        <v>1236</v>
      </c>
      <c r="K6" s="1"/>
    </row>
    <row r="7" spans="1:12" x14ac:dyDescent="0.25">
      <c r="A7" s="445"/>
      <c r="B7" s="1"/>
      <c r="D7" s="76" t="s">
        <v>363</v>
      </c>
      <c r="E7" s="76" t="s">
        <v>347</v>
      </c>
      <c r="F7" s="76" t="s">
        <v>348</v>
      </c>
      <c r="G7" s="76" t="s">
        <v>349</v>
      </c>
      <c r="H7" s="76" t="s">
        <v>350</v>
      </c>
      <c r="I7" s="76" t="s">
        <v>351</v>
      </c>
      <c r="J7" s="318"/>
      <c r="K7" s="1"/>
      <c r="L7" s="318"/>
    </row>
    <row r="8" spans="1:12" x14ac:dyDescent="0.25">
      <c r="D8" s="444" t="s">
        <v>985</v>
      </c>
      <c r="J8" s="13"/>
      <c r="K8" s="13"/>
    </row>
    <row r="9" spans="1:12" x14ac:dyDescent="0.25">
      <c r="D9" s="462" t="s">
        <v>547</v>
      </c>
      <c r="J9" s="13"/>
      <c r="K9" s="13"/>
    </row>
    <row r="10" spans="1:12" x14ac:dyDescent="0.25">
      <c r="B10" s="547"/>
      <c r="J10" s="13"/>
      <c r="K10" s="13"/>
    </row>
    <row r="11" spans="1:12" x14ac:dyDescent="0.25">
      <c r="B11" s="547"/>
      <c r="D11" s="547" t="s">
        <v>19</v>
      </c>
      <c r="F11" s="547" t="s">
        <v>345</v>
      </c>
      <c r="G11" s="319" t="s">
        <v>992</v>
      </c>
      <c r="H11" s="319" t="s">
        <v>993</v>
      </c>
      <c r="I11" s="547"/>
      <c r="J11" s="94"/>
      <c r="K11" s="443"/>
    </row>
    <row r="12" spans="1:12" x14ac:dyDescent="0.25">
      <c r="A12" s="844" t="s">
        <v>332</v>
      </c>
      <c r="B12" s="605" t="s">
        <v>193</v>
      </c>
      <c r="C12" s="605" t="s">
        <v>194</v>
      </c>
      <c r="D12" s="3" t="s">
        <v>542</v>
      </c>
      <c r="E12" s="3" t="s">
        <v>226</v>
      </c>
      <c r="F12" s="3" t="s">
        <v>346</v>
      </c>
      <c r="G12" s="320" t="s">
        <v>991</v>
      </c>
      <c r="H12" s="320" t="s">
        <v>994</v>
      </c>
      <c r="I12" s="3" t="s">
        <v>545</v>
      </c>
      <c r="J12" s="104"/>
      <c r="K12" s="443"/>
    </row>
    <row r="13" spans="1:12" x14ac:dyDescent="0.25">
      <c r="A13" s="94">
        <v>1</v>
      </c>
      <c r="B13" s="606" t="s">
        <v>181</v>
      </c>
      <c r="C13" s="934" t="s">
        <v>1388</v>
      </c>
      <c r="D13" s="924">
        <v>0</v>
      </c>
      <c r="E13" s="932">
        <v>0</v>
      </c>
      <c r="F13" s="932">
        <v>0</v>
      </c>
      <c r="G13" s="932">
        <v>0</v>
      </c>
      <c r="H13" s="932">
        <v>0</v>
      </c>
      <c r="I13" s="932">
        <v>0</v>
      </c>
      <c r="J13" s="607"/>
    </row>
    <row r="14" spans="1:12" x14ac:dyDescent="0.25">
      <c r="A14" s="94">
        <f>A13+1</f>
        <v>2</v>
      </c>
      <c r="B14" s="606" t="s">
        <v>182</v>
      </c>
      <c r="C14" s="934" t="s">
        <v>1388</v>
      </c>
      <c r="D14" s="924">
        <v>0</v>
      </c>
      <c r="E14" s="932">
        <v>0</v>
      </c>
      <c r="F14" s="932">
        <v>0</v>
      </c>
      <c r="G14" s="932">
        <v>0</v>
      </c>
      <c r="H14" s="932">
        <v>0</v>
      </c>
      <c r="I14" s="932">
        <v>0</v>
      </c>
      <c r="J14" s="607"/>
    </row>
    <row r="15" spans="1:12" x14ac:dyDescent="0.25">
      <c r="A15" s="94">
        <f t="shared" ref="A15:A26" si="0">A14+1</f>
        <v>3</v>
      </c>
      <c r="B15" s="608" t="s">
        <v>183</v>
      </c>
      <c r="C15" s="934" t="s">
        <v>1388</v>
      </c>
      <c r="D15" s="924">
        <v>0</v>
      </c>
      <c r="E15" s="932">
        <v>0</v>
      </c>
      <c r="F15" s="932">
        <v>0</v>
      </c>
      <c r="G15" s="932">
        <v>0</v>
      </c>
      <c r="H15" s="932">
        <v>0</v>
      </c>
      <c r="I15" s="932">
        <v>0</v>
      </c>
      <c r="J15" s="607"/>
    </row>
    <row r="16" spans="1:12" x14ac:dyDescent="0.25">
      <c r="A16" s="94">
        <f t="shared" si="0"/>
        <v>4</v>
      </c>
      <c r="B16" s="608" t="s">
        <v>196</v>
      </c>
      <c r="C16" s="934" t="s">
        <v>1388</v>
      </c>
      <c r="D16" s="924">
        <v>0</v>
      </c>
      <c r="E16" s="932">
        <v>0</v>
      </c>
      <c r="F16" s="932">
        <v>0</v>
      </c>
      <c r="G16" s="932">
        <v>0</v>
      </c>
      <c r="H16" s="932">
        <v>0</v>
      </c>
      <c r="I16" s="932">
        <v>0</v>
      </c>
      <c r="J16" s="607"/>
    </row>
    <row r="17" spans="1:11" x14ac:dyDescent="0.25">
      <c r="A17" s="94">
        <f t="shared" si="0"/>
        <v>5</v>
      </c>
      <c r="B17" s="606" t="s">
        <v>184</v>
      </c>
      <c r="C17" s="934" t="s">
        <v>1388</v>
      </c>
      <c r="D17" s="924">
        <v>0</v>
      </c>
      <c r="E17" s="932">
        <v>0</v>
      </c>
      <c r="F17" s="932">
        <v>0</v>
      </c>
      <c r="G17" s="932">
        <v>0</v>
      </c>
      <c r="H17" s="932">
        <v>0</v>
      </c>
      <c r="I17" s="932">
        <v>0</v>
      </c>
      <c r="J17" s="607"/>
    </row>
    <row r="18" spans="1:11" x14ac:dyDescent="0.25">
      <c r="A18" s="94">
        <f t="shared" si="0"/>
        <v>6</v>
      </c>
      <c r="B18" s="608" t="s">
        <v>185</v>
      </c>
      <c r="C18" s="934" t="s">
        <v>1388</v>
      </c>
      <c r="D18" s="924">
        <v>0</v>
      </c>
      <c r="E18" s="932">
        <v>0</v>
      </c>
      <c r="F18" s="932">
        <v>0</v>
      </c>
      <c r="G18" s="932">
        <v>0</v>
      </c>
      <c r="H18" s="932">
        <v>0</v>
      </c>
      <c r="I18" s="932">
        <v>0</v>
      </c>
      <c r="J18" s="607"/>
    </row>
    <row r="19" spans="1:11" x14ac:dyDescent="0.25">
      <c r="A19" s="94">
        <f t="shared" si="0"/>
        <v>7</v>
      </c>
      <c r="B19" s="608" t="s">
        <v>186</v>
      </c>
      <c r="C19" s="934" t="s">
        <v>1388</v>
      </c>
      <c r="D19" s="924">
        <v>0</v>
      </c>
      <c r="E19" s="932">
        <v>0</v>
      </c>
      <c r="F19" s="932">
        <v>0</v>
      </c>
      <c r="G19" s="932">
        <v>0</v>
      </c>
      <c r="H19" s="932">
        <v>0</v>
      </c>
      <c r="I19" s="932">
        <v>0</v>
      </c>
      <c r="J19" s="607"/>
    </row>
    <row r="20" spans="1:11" x14ac:dyDescent="0.25">
      <c r="A20" s="94">
        <f t="shared" si="0"/>
        <v>8</v>
      </c>
      <c r="B20" s="606" t="s">
        <v>187</v>
      </c>
      <c r="C20" s="934" t="s">
        <v>1388</v>
      </c>
      <c r="D20" s="924">
        <v>0</v>
      </c>
      <c r="E20" s="932">
        <v>0</v>
      </c>
      <c r="F20" s="932">
        <v>0</v>
      </c>
      <c r="G20" s="932">
        <v>0</v>
      </c>
      <c r="H20" s="932">
        <v>0</v>
      </c>
      <c r="I20" s="932">
        <v>0</v>
      </c>
      <c r="J20" s="607"/>
    </row>
    <row r="21" spans="1:11" x14ac:dyDescent="0.25">
      <c r="A21" s="94">
        <f t="shared" si="0"/>
        <v>9</v>
      </c>
      <c r="B21" s="608" t="s">
        <v>188</v>
      </c>
      <c r="C21" s="934" t="s">
        <v>1388</v>
      </c>
      <c r="D21" s="924">
        <v>0</v>
      </c>
      <c r="E21" s="932">
        <v>0</v>
      </c>
      <c r="F21" s="932">
        <v>0</v>
      </c>
      <c r="G21" s="932">
        <v>0</v>
      </c>
      <c r="H21" s="932">
        <v>0</v>
      </c>
      <c r="I21" s="932">
        <v>0</v>
      </c>
      <c r="J21" s="607"/>
    </row>
    <row r="22" spans="1:11" x14ac:dyDescent="0.25">
      <c r="A22" s="94">
        <f t="shared" si="0"/>
        <v>10</v>
      </c>
      <c r="B22" s="608" t="s">
        <v>189</v>
      </c>
      <c r="C22" s="934" t="s">
        <v>1388</v>
      </c>
      <c r="D22" s="924">
        <v>0</v>
      </c>
      <c r="E22" s="932">
        <v>0</v>
      </c>
      <c r="F22" s="932">
        <v>0</v>
      </c>
      <c r="G22" s="932">
        <v>0</v>
      </c>
      <c r="H22" s="932">
        <v>0</v>
      </c>
      <c r="I22" s="932">
        <v>0</v>
      </c>
      <c r="J22" s="607"/>
    </row>
    <row r="23" spans="1:11" x14ac:dyDescent="0.25">
      <c r="A23" s="94">
        <f t="shared" si="0"/>
        <v>11</v>
      </c>
      <c r="B23" s="606" t="s">
        <v>190</v>
      </c>
      <c r="C23" s="934" t="s">
        <v>1388</v>
      </c>
      <c r="D23" s="924">
        <v>0</v>
      </c>
      <c r="E23" s="932">
        <v>0</v>
      </c>
      <c r="F23" s="932">
        <v>0</v>
      </c>
      <c r="G23" s="932">
        <v>0</v>
      </c>
      <c r="H23" s="932">
        <v>0</v>
      </c>
      <c r="I23" s="932">
        <v>0</v>
      </c>
      <c r="J23" s="607"/>
    </row>
    <row r="24" spans="1:11" x14ac:dyDescent="0.25">
      <c r="A24" s="94">
        <f t="shared" si="0"/>
        <v>12</v>
      </c>
      <c r="B24" s="606" t="s">
        <v>191</v>
      </c>
      <c r="C24" s="934" t="s">
        <v>1388</v>
      </c>
      <c r="D24" s="924">
        <v>0</v>
      </c>
      <c r="E24" s="932">
        <v>0</v>
      </c>
      <c r="F24" s="932">
        <v>0</v>
      </c>
      <c r="G24" s="932">
        <v>0</v>
      </c>
      <c r="H24" s="932">
        <v>0</v>
      </c>
      <c r="I24" s="932">
        <v>0</v>
      </c>
      <c r="J24" s="607"/>
    </row>
    <row r="25" spans="1:11" ht="15" x14ac:dyDescent="0.4">
      <c r="A25" s="94">
        <f t="shared" si="0"/>
        <v>13</v>
      </c>
      <c r="B25" s="606" t="s">
        <v>181</v>
      </c>
      <c r="C25" s="934" t="s">
        <v>1388</v>
      </c>
      <c r="D25" s="925">
        <v>0</v>
      </c>
      <c r="E25" s="933">
        <v>0</v>
      </c>
      <c r="F25" s="933">
        <v>0</v>
      </c>
      <c r="G25" s="933">
        <v>0</v>
      </c>
      <c r="H25" s="933">
        <v>0</v>
      </c>
      <c r="I25" s="933">
        <v>0</v>
      </c>
      <c r="J25" s="607"/>
    </row>
    <row r="26" spans="1:11" x14ac:dyDescent="0.25">
      <c r="A26" s="94">
        <f t="shared" si="0"/>
        <v>14</v>
      </c>
      <c r="B26" s="606"/>
      <c r="C26" s="609" t="s">
        <v>543</v>
      </c>
      <c r="D26" s="924">
        <v>0</v>
      </c>
      <c r="E26" s="924">
        <v>0</v>
      </c>
      <c r="F26" s="924">
        <v>0</v>
      </c>
      <c r="G26" s="924">
        <v>0</v>
      </c>
      <c r="H26" s="924">
        <v>0</v>
      </c>
      <c r="I26" s="924">
        <v>0</v>
      </c>
      <c r="J26" s="607"/>
      <c r="K26" s="607"/>
    </row>
    <row r="27" spans="1:11" x14ac:dyDescent="0.25">
      <c r="A27" s="94"/>
      <c r="B27" s="606"/>
      <c r="C27" s="609"/>
      <c r="D27" s="499"/>
      <c r="E27" s="499"/>
      <c r="F27" s="499"/>
      <c r="G27" s="499"/>
      <c r="H27" s="499"/>
      <c r="I27" s="607"/>
      <c r="J27" s="447"/>
      <c r="K27" s="607"/>
    </row>
    <row r="28" spans="1:11" x14ac:dyDescent="0.25">
      <c r="A28" s="94"/>
      <c r="B28" s="606"/>
      <c r="C28" s="609"/>
      <c r="D28" s="76" t="s">
        <v>352</v>
      </c>
      <c r="E28" s="76" t="s">
        <v>541</v>
      </c>
      <c r="F28" s="76" t="s">
        <v>955</v>
      </c>
      <c r="G28" s="76" t="s">
        <v>967</v>
      </c>
      <c r="H28" s="76" t="s">
        <v>970</v>
      </c>
      <c r="I28" s="76" t="s">
        <v>988</v>
      </c>
      <c r="J28" s="447"/>
      <c r="K28" s="607"/>
    </row>
    <row r="29" spans="1:11" x14ac:dyDescent="0.25">
      <c r="A29" s="94"/>
      <c r="B29" s="606"/>
      <c r="C29" s="609"/>
      <c r="E29" s="319" t="s">
        <v>989</v>
      </c>
      <c r="F29" s="319"/>
      <c r="G29" s="319"/>
      <c r="H29" s="499"/>
      <c r="I29" s="607"/>
      <c r="J29" s="447"/>
      <c r="K29" s="607"/>
    </row>
    <row r="30" spans="1:11" x14ac:dyDescent="0.25">
      <c r="B30" s="547" t="s">
        <v>331</v>
      </c>
      <c r="D30" s="547" t="s">
        <v>986</v>
      </c>
      <c r="E30" s="547" t="s">
        <v>990</v>
      </c>
      <c r="F30" s="319"/>
      <c r="G30" s="319"/>
      <c r="H30" s="499"/>
      <c r="I30" s="607"/>
      <c r="J30" s="447"/>
      <c r="K30" s="607"/>
    </row>
    <row r="31" spans="1:11" x14ac:dyDescent="0.25">
      <c r="B31" s="547"/>
      <c r="D31" s="547" t="s">
        <v>429</v>
      </c>
      <c r="E31" s="547" t="s">
        <v>429</v>
      </c>
      <c r="F31" s="319"/>
      <c r="G31" s="319"/>
      <c r="H31" s="499"/>
      <c r="I31" s="607"/>
      <c r="J31" s="607"/>
      <c r="K31" s="607"/>
    </row>
    <row r="32" spans="1:11" x14ac:dyDescent="0.25">
      <c r="A32" s="844" t="s">
        <v>332</v>
      </c>
      <c r="B32" s="605" t="s">
        <v>193</v>
      </c>
      <c r="C32" s="605" t="s">
        <v>194</v>
      </c>
      <c r="D32" s="3" t="s">
        <v>987</v>
      </c>
      <c r="E32" s="3" t="s">
        <v>987</v>
      </c>
      <c r="F32" s="321"/>
      <c r="G32" s="321"/>
      <c r="H32" s="321"/>
      <c r="I32" s="321"/>
      <c r="J32" s="607"/>
      <c r="K32" s="607"/>
    </row>
    <row r="33" spans="1:11" x14ac:dyDescent="0.25">
      <c r="A33" s="94">
        <f>+A26+1</f>
        <v>15</v>
      </c>
      <c r="B33" s="606" t="s">
        <v>181</v>
      </c>
      <c r="C33" s="934" t="s">
        <v>1388</v>
      </c>
      <c r="D33" s="932">
        <v>0</v>
      </c>
      <c r="E33" s="932">
        <v>0</v>
      </c>
      <c r="F33" s="932">
        <v>0</v>
      </c>
      <c r="G33" s="932">
        <v>0</v>
      </c>
      <c r="H33" s="610" t="s">
        <v>77</v>
      </c>
      <c r="I33" s="610" t="s">
        <v>77</v>
      </c>
      <c r="J33" s="607"/>
      <c r="K33" s="607"/>
    </row>
    <row r="34" spans="1:11" x14ac:dyDescent="0.25">
      <c r="A34" s="94">
        <f>A33+1</f>
        <v>16</v>
      </c>
      <c r="B34" s="606" t="s">
        <v>182</v>
      </c>
      <c r="C34" s="934" t="s">
        <v>1388</v>
      </c>
      <c r="D34" s="932">
        <v>0</v>
      </c>
      <c r="E34" s="932">
        <v>0</v>
      </c>
      <c r="F34" s="932">
        <v>0</v>
      </c>
      <c r="G34" s="932">
        <v>0</v>
      </c>
      <c r="H34" s="610" t="s">
        <v>77</v>
      </c>
      <c r="I34" s="610" t="s">
        <v>77</v>
      </c>
      <c r="J34" s="607"/>
      <c r="K34" s="607"/>
    </row>
    <row r="35" spans="1:11" x14ac:dyDescent="0.25">
      <c r="A35" s="94">
        <f t="shared" ref="A35:A46" si="1">A34+1</f>
        <v>17</v>
      </c>
      <c r="B35" s="608" t="s">
        <v>183</v>
      </c>
      <c r="C35" s="934" t="s">
        <v>1388</v>
      </c>
      <c r="D35" s="932">
        <v>0</v>
      </c>
      <c r="E35" s="932">
        <v>0</v>
      </c>
      <c r="F35" s="932">
        <v>0</v>
      </c>
      <c r="G35" s="932">
        <v>0</v>
      </c>
      <c r="H35" s="610" t="s">
        <v>77</v>
      </c>
      <c r="I35" s="610" t="s">
        <v>77</v>
      </c>
      <c r="J35" s="607"/>
      <c r="K35" s="607"/>
    </row>
    <row r="36" spans="1:11" x14ac:dyDescent="0.25">
      <c r="A36" s="94">
        <f t="shared" si="1"/>
        <v>18</v>
      </c>
      <c r="B36" s="608" t="s">
        <v>196</v>
      </c>
      <c r="C36" s="934" t="s">
        <v>1388</v>
      </c>
      <c r="D36" s="932">
        <v>0</v>
      </c>
      <c r="E36" s="932">
        <v>0</v>
      </c>
      <c r="F36" s="932">
        <v>0</v>
      </c>
      <c r="G36" s="932">
        <v>0</v>
      </c>
      <c r="H36" s="610" t="s">
        <v>77</v>
      </c>
      <c r="I36" s="610" t="s">
        <v>77</v>
      </c>
      <c r="J36" s="607"/>
      <c r="K36" s="607"/>
    </row>
    <row r="37" spans="1:11" x14ac:dyDescent="0.25">
      <c r="A37" s="94">
        <f t="shared" si="1"/>
        <v>19</v>
      </c>
      <c r="B37" s="606" t="s">
        <v>184</v>
      </c>
      <c r="C37" s="934" t="s">
        <v>1388</v>
      </c>
      <c r="D37" s="932">
        <v>0</v>
      </c>
      <c r="E37" s="932">
        <v>0</v>
      </c>
      <c r="F37" s="932">
        <v>0</v>
      </c>
      <c r="G37" s="932">
        <v>0</v>
      </c>
      <c r="H37" s="610" t="s">
        <v>77</v>
      </c>
      <c r="I37" s="610" t="s">
        <v>77</v>
      </c>
      <c r="J37" s="607"/>
      <c r="K37" s="607"/>
    </row>
    <row r="38" spans="1:11" x14ac:dyDescent="0.25">
      <c r="A38" s="94">
        <f t="shared" si="1"/>
        <v>20</v>
      </c>
      <c r="B38" s="608" t="s">
        <v>185</v>
      </c>
      <c r="C38" s="934" t="s">
        <v>1388</v>
      </c>
      <c r="D38" s="932">
        <v>0</v>
      </c>
      <c r="E38" s="932">
        <v>0</v>
      </c>
      <c r="F38" s="932">
        <v>0</v>
      </c>
      <c r="G38" s="932">
        <v>0</v>
      </c>
      <c r="H38" s="610" t="s">
        <v>77</v>
      </c>
      <c r="I38" s="610" t="s">
        <v>77</v>
      </c>
      <c r="J38" s="607"/>
      <c r="K38" s="607"/>
    </row>
    <row r="39" spans="1:11" x14ac:dyDescent="0.25">
      <c r="A39" s="94">
        <f t="shared" si="1"/>
        <v>21</v>
      </c>
      <c r="B39" s="608" t="s">
        <v>186</v>
      </c>
      <c r="C39" s="934" t="s">
        <v>1388</v>
      </c>
      <c r="D39" s="932">
        <v>0</v>
      </c>
      <c r="E39" s="932">
        <v>0</v>
      </c>
      <c r="F39" s="932">
        <v>0</v>
      </c>
      <c r="G39" s="932">
        <v>0</v>
      </c>
      <c r="H39" s="610" t="s">
        <v>77</v>
      </c>
      <c r="I39" s="610" t="s">
        <v>77</v>
      </c>
      <c r="J39" s="607"/>
      <c r="K39" s="607"/>
    </row>
    <row r="40" spans="1:11" x14ac:dyDescent="0.25">
      <c r="A40" s="94">
        <f t="shared" si="1"/>
        <v>22</v>
      </c>
      <c r="B40" s="606" t="s">
        <v>187</v>
      </c>
      <c r="C40" s="934" t="s">
        <v>1388</v>
      </c>
      <c r="D40" s="932">
        <v>0</v>
      </c>
      <c r="E40" s="932">
        <v>0</v>
      </c>
      <c r="F40" s="932">
        <v>0</v>
      </c>
      <c r="G40" s="932">
        <v>0</v>
      </c>
      <c r="H40" s="610" t="s">
        <v>77</v>
      </c>
      <c r="I40" s="610" t="s">
        <v>77</v>
      </c>
      <c r="J40" s="607"/>
      <c r="K40" s="607"/>
    </row>
    <row r="41" spans="1:11" x14ac:dyDescent="0.25">
      <c r="A41" s="94">
        <f t="shared" si="1"/>
        <v>23</v>
      </c>
      <c r="B41" s="608" t="s">
        <v>188</v>
      </c>
      <c r="C41" s="934" t="s">
        <v>1388</v>
      </c>
      <c r="D41" s="932">
        <v>0</v>
      </c>
      <c r="E41" s="932">
        <v>0</v>
      </c>
      <c r="F41" s="932">
        <v>0</v>
      </c>
      <c r="G41" s="932">
        <v>0</v>
      </c>
      <c r="H41" s="610" t="s">
        <v>77</v>
      </c>
      <c r="I41" s="610" t="s">
        <v>77</v>
      </c>
      <c r="J41" s="607"/>
      <c r="K41" s="607"/>
    </row>
    <row r="42" spans="1:11" x14ac:dyDescent="0.25">
      <c r="A42" s="94">
        <f t="shared" si="1"/>
        <v>24</v>
      </c>
      <c r="B42" s="608" t="s">
        <v>189</v>
      </c>
      <c r="C42" s="934" t="s">
        <v>1388</v>
      </c>
      <c r="D42" s="932">
        <v>0</v>
      </c>
      <c r="E42" s="932">
        <v>0</v>
      </c>
      <c r="F42" s="932">
        <v>0</v>
      </c>
      <c r="G42" s="932">
        <v>0</v>
      </c>
      <c r="H42" s="610" t="s">
        <v>77</v>
      </c>
      <c r="I42" s="610" t="s">
        <v>77</v>
      </c>
      <c r="J42" s="607"/>
      <c r="K42" s="607"/>
    </row>
    <row r="43" spans="1:11" x14ac:dyDescent="0.25">
      <c r="A43" s="94">
        <f t="shared" si="1"/>
        <v>25</v>
      </c>
      <c r="B43" s="606" t="s">
        <v>190</v>
      </c>
      <c r="C43" s="934" t="s">
        <v>1388</v>
      </c>
      <c r="D43" s="932">
        <v>0</v>
      </c>
      <c r="E43" s="932">
        <v>0</v>
      </c>
      <c r="F43" s="932">
        <v>0</v>
      </c>
      <c r="G43" s="932">
        <v>0</v>
      </c>
      <c r="H43" s="610" t="s">
        <v>77</v>
      </c>
      <c r="I43" s="610" t="s">
        <v>77</v>
      </c>
      <c r="J43" s="607"/>
      <c r="K43" s="607"/>
    </row>
    <row r="44" spans="1:11" x14ac:dyDescent="0.25">
      <c r="A44" s="94">
        <f t="shared" si="1"/>
        <v>26</v>
      </c>
      <c r="B44" s="606" t="s">
        <v>191</v>
      </c>
      <c r="C44" s="934" t="s">
        <v>1388</v>
      </c>
      <c r="D44" s="932">
        <v>0</v>
      </c>
      <c r="E44" s="932">
        <v>0</v>
      </c>
      <c r="F44" s="932">
        <v>0</v>
      </c>
      <c r="G44" s="932">
        <v>0</v>
      </c>
      <c r="H44" s="610" t="s">
        <v>77</v>
      </c>
      <c r="I44" s="610" t="s">
        <v>77</v>
      </c>
      <c r="J44" s="607"/>
      <c r="K44" s="607"/>
    </row>
    <row r="45" spans="1:11" ht="15" x14ac:dyDescent="0.4">
      <c r="A45" s="94">
        <f t="shared" si="1"/>
        <v>27</v>
      </c>
      <c r="B45" s="606" t="s">
        <v>181</v>
      </c>
      <c r="C45" s="934" t="s">
        <v>1388</v>
      </c>
      <c r="D45" s="933">
        <v>0</v>
      </c>
      <c r="E45" s="933">
        <v>0</v>
      </c>
      <c r="F45" s="933">
        <v>0</v>
      </c>
      <c r="G45" s="933">
        <v>0</v>
      </c>
      <c r="H45" s="610" t="s">
        <v>77</v>
      </c>
      <c r="I45" s="610" t="s">
        <v>77</v>
      </c>
      <c r="J45" s="607"/>
      <c r="K45" s="607"/>
    </row>
    <row r="46" spans="1:11" x14ac:dyDescent="0.25">
      <c r="A46" s="94">
        <f t="shared" si="1"/>
        <v>28</v>
      </c>
      <c r="B46" s="606"/>
      <c r="C46" s="609" t="s">
        <v>543</v>
      </c>
      <c r="D46" s="924">
        <v>0</v>
      </c>
      <c r="E46" s="924">
        <v>0</v>
      </c>
      <c r="F46" s="924">
        <v>0</v>
      </c>
      <c r="G46" s="924">
        <v>0</v>
      </c>
      <c r="H46" s="924">
        <v>0</v>
      </c>
      <c r="I46" s="924">
        <v>0</v>
      </c>
      <c r="J46" s="607"/>
      <c r="K46" s="607"/>
    </row>
    <row r="48" spans="1:11" x14ac:dyDescent="0.25">
      <c r="B48" s="611" t="s">
        <v>1941</v>
      </c>
    </row>
    <row r="49" spans="1:13" x14ac:dyDescent="0.25">
      <c r="B49" s="611"/>
      <c r="D49" s="636" t="s">
        <v>363</v>
      </c>
      <c r="E49" s="636" t="s">
        <v>347</v>
      </c>
      <c r="F49" s="636" t="s">
        <v>348</v>
      </c>
      <c r="G49" s="636" t="s">
        <v>349</v>
      </c>
      <c r="H49" s="636" t="s">
        <v>350</v>
      </c>
      <c r="I49" s="636" t="s">
        <v>351</v>
      </c>
      <c r="J49" s="636" t="s">
        <v>352</v>
      </c>
      <c r="K49" s="636" t="s">
        <v>541</v>
      </c>
    </row>
    <row r="50" spans="1:13" s="637" customFormat="1" x14ac:dyDescent="0.25">
      <c r="A50" s="801"/>
      <c r="D50" s="444" t="s">
        <v>212</v>
      </c>
      <c r="E50" s="444" t="s">
        <v>212</v>
      </c>
      <c r="F50" s="444" t="s">
        <v>212</v>
      </c>
      <c r="G50" s="444" t="s">
        <v>212</v>
      </c>
      <c r="H50" s="444" t="s">
        <v>212</v>
      </c>
      <c r="I50" s="444" t="s">
        <v>212</v>
      </c>
      <c r="J50" s="444" t="s">
        <v>212</v>
      </c>
      <c r="K50" s="444" t="s">
        <v>212</v>
      </c>
      <c r="L50" s="801"/>
    </row>
    <row r="51" spans="1:13" x14ac:dyDescent="0.25">
      <c r="G51" s="547" t="s">
        <v>1942</v>
      </c>
      <c r="K51" s="638"/>
    </row>
    <row r="52" spans="1:13" x14ac:dyDescent="0.25">
      <c r="A52" s="638"/>
      <c r="B52" s="638"/>
      <c r="C52" s="638"/>
      <c r="D52" s="638" t="s">
        <v>199</v>
      </c>
      <c r="E52" s="638" t="s">
        <v>1925</v>
      </c>
      <c r="F52" s="638" t="s">
        <v>1943</v>
      </c>
      <c r="G52" s="638" t="s">
        <v>197</v>
      </c>
      <c r="H52" s="638" t="s">
        <v>1944</v>
      </c>
      <c r="I52" s="639" t="s">
        <v>1945</v>
      </c>
      <c r="J52" s="638" t="s">
        <v>199</v>
      </c>
      <c r="K52" s="638" t="s">
        <v>18</v>
      </c>
    </row>
    <row r="53" spans="1:13" x14ac:dyDescent="0.25">
      <c r="A53" s="844" t="s">
        <v>332</v>
      </c>
      <c r="B53" s="605" t="s">
        <v>193</v>
      </c>
      <c r="C53" s="605" t="s">
        <v>194</v>
      </c>
      <c r="D53" s="636" t="s">
        <v>1946</v>
      </c>
      <c r="E53" s="636" t="s">
        <v>1926</v>
      </c>
      <c r="F53" s="636" t="s">
        <v>1947</v>
      </c>
      <c r="G53" s="636" t="s">
        <v>1948</v>
      </c>
      <c r="H53" s="636" t="s">
        <v>1949</v>
      </c>
      <c r="I53" s="636" t="s">
        <v>1950</v>
      </c>
      <c r="J53" s="636" t="s">
        <v>1951</v>
      </c>
      <c r="K53" s="3" t="s">
        <v>1952</v>
      </c>
    </row>
    <row r="54" spans="1:13" x14ac:dyDescent="0.25">
      <c r="A54" s="94">
        <f>A46+1</f>
        <v>29</v>
      </c>
      <c r="B54" s="606" t="s">
        <v>181</v>
      </c>
      <c r="C54" s="934" t="s">
        <v>1388</v>
      </c>
      <c r="D54" s="645" t="s">
        <v>77</v>
      </c>
      <c r="E54" s="645" t="s">
        <v>77</v>
      </c>
      <c r="F54" s="645" t="s">
        <v>77</v>
      </c>
      <c r="G54" s="645" t="s">
        <v>77</v>
      </c>
      <c r="H54" s="645" t="s">
        <v>77</v>
      </c>
      <c r="I54" s="645" t="s">
        <v>77</v>
      </c>
      <c r="J54" s="924">
        <v>0</v>
      </c>
      <c r="K54" s="645" t="s">
        <v>77</v>
      </c>
    </row>
    <row r="55" spans="1:13" x14ac:dyDescent="0.25">
      <c r="A55" s="94">
        <f>A54+1</f>
        <v>30</v>
      </c>
      <c r="B55" s="606" t="s">
        <v>182</v>
      </c>
      <c r="C55" s="934" t="s">
        <v>1388</v>
      </c>
      <c r="D55" s="924">
        <v>0</v>
      </c>
      <c r="E55" s="924">
        <v>0</v>
      </c>
      <c r="F55" s="924">
        <v>0</v>
      </c>
      <c r="G55" s="924">
        <v>0</v>
      </c>
      <c r="H55" s="924">
        <v>0</v>
      </c>
      <c r="I55" s="924">
        <v>0</v>
      </c>
      <c r="J55" s="924">
        <v>0</v>
      </c>
      <c r="K55" s="924">
        <v>0</v>
      </c>
      <c r="L55" s="799"/>
      <c r="M55" s="6"/>
    </row>
    <row r="56" spans="1:13" x14ac:dyDescent="0.25">
      <c r="A56" s="94">
        <f t="shared" ref="A56:A79" si="2">A55+1</f>
        <v>31</v>
      </c>
      <c r="B56" s="608" t="s">
        <v>183</v>
      </c>
      <c r="C56" s="934" t="s">
        <v>1388</v>
      </c>
      <c r="D56" s="924">
        <v>0</v>
      </c>
      <c r="E56" s="924">
        <v>0</v>
      </c>
      <c r="F56" s="924">
        <v>0</v>
      </c>
      <c r="G56" s="924">
        <v>0</v>
      </c>
      <c r="H56" s="924">
        <v>0</v>
      </c>
      <c r="I56" s="924">
        <v>0</v>
      </c>
      <c r="J56" s="924">
        <v>0</v>
      </c>
      <c r="K56" s="924">
        <v>0</v>
      </c>
      <c r="L56" s="799"/>
      <c r="M56" s="6"/>
    </row>
    <row r="57" spans="1:13" x14ac:dyDescent="0.25">
      <c r="A57" s="94">
        <f t="shared" si="2"/>
        <v>32</v>
      </c>
      <c r="B57" s="608" t="s">
        <v>196</v>
      </c>
      <c r="C57" s="934" t="s">
        <v>1388</v>
      </c>
      <c r="D57" s="924">
        <v>0</v>
      </c>
      <c r="E57" s="924">
        <v>0</v>
      </c>
      <c r="F57" s="924">
        <v>0</v>
      </c>
      <c r="G57" s="924">
        <v>0</v>
      </c>
      <c r="H57" s="924">
        <v>0</v>
      </c>
      <c r="I57" s="924">
        <v>0</v>
      </c>
      <c r="J57" s="924">
        <v>0</v>
      </c>
      <c r="K57" s="924">
        <v>0</v>
      </c>
      <c r="L57" s="799"/>
      <c r="M57" s="6"/>
    </row>
    <row r="58" spans="1:13" x14ac:dyDescent="0.25">
      <c r="A58" s="94">
        <f t="shared" si="2"/>
        <v>33</v>
      </c>
      <c r="B58" s="606" t="s">
        <v>184</v>
      </c>
      <c r="C58" s="934" t="s">
        <v>1388</v>
      </c>
      <c r="D58" s="924">
        <v>0</v>
      </c>
      <c r="E58" s="924">
        <v>0</v>
      </c>
      <c r="F58" s="924">
        <v>0</v>
      </c>
      <c r="G58" s="924">
        <v>0</v>
      </c>
      <c r="H58" s="924">
        <v>0</v>
      </c>
      <c r="I58" s="924">
        <v>0</v>
      </c>
      <c r="J58" s="924">
        <v>0</v>
      </c>
      <c r="K58" s="924">
        <v>0</v>
      </c>
      <c r="L58" s="799"/>
      <c r="M58" s="6"/>
    </row>
    <row r="59" spans="1:13" x14ac:dyDescent="0.25">
      <c r="A59" s="94">
        <f t="shared" si="2"/>
        <v>34</v>
      </c>
      <c r="B59" s="608" t="s">
        <v>185</v>
      </c>
      <c r="C59" s="934" t="s">
        <v>1388</v>
      </c>
      <c r="D59" s="924">
        <v>0</v>
      </c>
      <c r="E59" s="924">
        <v>0</v>
      </c>
      <c r="F59" s="924">
        <v>0</v>
      </c>
      <c r="G59" s="924">
        <v>0</v>
      </c>
      <c r="H59" s="924">
        <v>0</v>
      </c>
      <c r="I59" s="924">
        <v>0</v>
      </c>
      <c r="J59" s="924">
        <v>0</v>
      </c>
      <c r="K59" s="924">
        <v>0</v>
      </c>
      <c r="L59" s="799"/>
      <c r="M59" s="6"/>
    </row>
    <row r="60" spans="1:13" x14ac:dyDescent="0.25">
      <c r="A60" s="94">
        <f t="shared" si="2"/>
        <v>35</v>
      </c>
      <c r="B60" s="608" t="s">
        <v>1475</v>
      </c>
      <c r="C60" s="934" t="s">
        <v>1388</v>
      </c>
      <c r="D60" s="924">
        <v>0</v>
      </c>
      <c r="E60" s="924">
        <v>0</v>
      </c>
      <c r="F60" s="924">
        <v>0</v>
      </c>
      <c r="G60" s="924">
        <v>0</v>
      </c>
      <c r="H60" s="924">
        <v>0</v>
      </c>
      <c r="I60" s="924">
        <v>0</v>
      </c>
      <c r="J60" s="924">
        <v>0</v>
      </c>
      <c r="K60" s="924">
        <v>0</v>
      </c>
      <c r="L60" s="799"/>
      <c r="M60" s="6"/>
    </row>
    <row r="61" spans="1:13" x14ac:dyDescent="0.25">
      <c r="A61" s="94">
        <f t="shared" si="2"/>
        <v>36</v>
      </c>
      <c r="B61" s="606" t="s">
        <v>187</v>
      </c>
      <c r="C61" s="934" t="s">
        <v>1388</v>
      </c>
      <c r="D61" s="924">
        <v>0</v>
      </c>
      <c r="E61" s="924">
        <v>0</v>
      </c>
      <c r="F61" s="924">
        <v>0</v>
      </c>
      <c r="G61" s="924">
        <v>0</v>
      </c>
      <c r="H61" s="924">
        <v>0</v>
      </c>
      <c r="I61" s="924">
        <v>0</v>
      </c>
      <c r="J61" s="924">
        <v>0</v>
      </c>
      <c r="K61" s="924">
        <v>0</v>
      </c>
      <c r="L61" s="799"/>
      <c r="M61" s="6"/>
    </row>
    <row r="62" spans="1:13" x14ac:dyDescent="0.25">
      <c r="A62" s="94">
        <f t="shared" si="2"/>
        <v>37</v>
      </c>
      <c r="B62" s="608" t="s">
        <v>188</v>
      </c>
      <c r="C62" s="934" t="s">
        <v>1388</v>
      </c>
      <c r="D62" s="924">
        <v>0</v>
      </c>
      <c r="E62" s="924">
        <v>0</v>
      </c>
      <c r="F62" s="924">
        <v>0</v>
      </c>
      <c r="G62" s="924">
        <v>0</v>
      </c>
      <c r="H62" s="924">
        <v>0</v>
      </c>
      <c r="I62" s="924">
        <v>0</v>
      </c>
      <c r="J62" s="924">
        <v>0</v>
      </c>
      <c r="K62" s="924">
        <v>0</v>
      </c>
      <c r="L62" s="799"/>
      <c r="M62" s="6"/>
    </row>
    <row r="63" spans="1:13" x14ac:dyDescent="0.25">
      <c r="A63" s="94">
        <f t="shared" si="2"/>
        <v>38</v>
      </c>
      <c r="B63" s="608" t="s">
        <v>189</v>
      </c>
      <c r="C63" s="934" t="s">
        <v>1388</v>
      </c>
      <c r="D63" s="924">
        <v>0</v>
      </c>
      <c r="E63" s="924">
        <v>0</v>
      </c>
      <c r="F63" s="924">
        <v>0</v>
      </c>
      <c r="G63" s="924">
        <v>0</v>
      </c>
      <c r="H63" s="924">
        <v>0</v>
      </c>
      <c r="I63" s="924">
        <v>0</v>
      </c>
      <c r="J63" s="924">
        <v>0</v>
      </c>
      <c r="K63" s="924">
        <v>0</v>
      </c>
      <c r="L63" s="799"/>
      <c r="M63" s="6"/>
    </row>
    <row r="64" spans="1:13" x14ac:dyDescent="0.25">
      <c r="A64" s="94">
        <f t="shared" si="2"/>
        <v>39</v>
      </c>
      <c r="B64" s="606" t="s">
        <v>192</v>
      </c>
      <c r="C64" s="934" t="s">
        <v>1388</v>
      </c>
      <c r="D64" s="924">
        <v>0</v>
      </c>
      <c r="E64" s="924">
        <v>0</v>
      </c>
      <c r="F64" s="924">
        <v>0</v>
      </c>
      <c r="G64" s="924">
        <v>0</v>
      </c>
      <c r="H64" s="924">
        <v>0</v>
      </c>
      <c r="I64" s="924">
        <v>0</v>
      </c>
      <c r="J64" s="924">
        <v>0</v>
      </c>
      <c r="K64" s="924">
        <v>0</v>
      </c>
      <c r="L64" s="799"/>
      <c r="M64" s="6"/>
    </row>
    <row r="65" spans="1:13" x14ac:dyDescent="0.25">
      <c r="A65" s="94">
        <f t="shared" si="2"/>
        <v>40</v>
      </c>
      <c r="B65" s="606" t="s">
        <v>191</v>
      </c>
      <c r="C65" s="934" t="s">
        <v>1388</v>
      </c>
      <c r="D65" s="924">
        <v>0</v>
      </c>
      <c r="E65" s="924">
        <v>0</v>
      </c>
      <c r="F65" s="924">
        <v>0</v>
      </c>
      <c r="G65" s="924">
        <v>0</v>
      </c>
      <c r="H65" s="924">
        <v>0</v>
      </c>
      <c r="I65" s="924">
        <v>0</v>
      </c>
      <c r="J65" s="924">
        <v>0</v>
      </c>
      <c r="K65" s="924">
        <v>0</v>
      </c>
      <c r="L65" s="799"/>
      <c r="M65" s="6"/>
    </row>
    <row r="66" spans="1:13" x14ac:dyDescent="0.25">
      <c r="A66" s="94">
        <f t="shared" si="2"/>
        <v>41</v>
      </c>
      <c r="B66" s="606" t="s">
        <v>181</v>
      </c>
      <c r="C66" s="934" t="s">
        <v>1388</v>
      </c>
      <c r="D66" s="924">
        <v>0</v>
      </c>
      <c r="E66" s="924">
        <v>0</v>
      </c>
      <c r="F66" s="924">
        <v>0</v>
      </c>
      <c r="G66" s="924">
        <v>0</v>
      </c>
      <c r="H66" s="924">
        <v>0</v>
      </c>
      <c r="I66" s="924">
        <v>0</v>
      </c>
      <c r="J66" s="924">
        <v>0</v>
      </c>
      <c r="K66" s="924">
        <v>0</v>
      </c>
      <c r="L66" s="799"/>
      <c r="M66" s="6"/>
    </row>
    <row r="67" spans="1:13" x14ac:dyDescent="0.25">
      <c r="A67" s="94">
        <f t="shared" si="2"/>
        <v>42</v>
      </c>
      <c r="B67" s="606" t="s">
        <v>182</v>
      </c>
      <c r="C67" s="934" t="s">
        <v>1388</v>
      </c>
      <c r="D67" s="924">
        <v>0</v>
      </c>
      <c r="E67" s="924">
        <v>0</v>
      </c>
      <c r="F67" s="924">
        <v>0</v>
      </c>
      <c r="G67" s="924">
        <v>0</v>
      </c>
      <c r="H67" s="924">
        <v>0</v>
      </c>
      <c r="I67" s="924">
        <v>0</v>
      </c>
      <c r="J67" s="924">
        <v>0</v>
      </c>
      <c r="K67" s="924">
        <v>0</v>
      </c>
      <c r="L67" s="799"/>
      <c r="M67" s="6"/>
    </row>
    <row r="68" spans="1:13" x14ac:dyDescent="0.25">
      <c r="A68" s="94">
        <f t="shared" si="2"/>
        <v>43</v>
      </c>
      <c r="B68" s="608" t="s">
        <v>183</v>
      </c>
      <c r="C68" s="934" t="s">
        <v>1388</v>
      </c>
      <c r="D68" s="924">
        <v>0</v>
      </c>
      <c r="E68" s="924">
        <v>0</v>
      </c>
      <c r="F68" s="924">
        <v>0</v>
      </c>
      <c r="G68" s="924">
        <v>0</v>
      </c>
      <c r="H68" s="924">
        <v>0</v>
      </c>
      <c r="I68" s="924">
        <v>0</v>
      </c>
      <c r="J68" s="924">
        <v>0</v>
      </c>
      <c r="K68" s="924">
        <v>0</v>
      </c>
      <c r="L68" s="799"/>
      <c r="M68" s="6"/>
    </row>
    <row r="69" spans="1:13" x14ac:dyDescent="0.25">
      <c r="A69" s="94">
        <f t="shared" si="2"/>
        <v>44</v>
      </c>
      <c r="B69" s="608" t="s">
        <v>196</v>
      </c>
      <c r="C69" s="934" t="s">
        <v>1388</v>
      </c>
      <c r="D69" s="924">
        <v>0</v>
      </c>
      <c r="E69" s="924">
        <v>0</v>
      </c>
      <c r="F69" s="924">
        <v>0</v>
      </c>
      <c r="G69" s="924">
        <v>0</v>
      </c>
      <c r="H69" s="924">
        <v>0</v>
      </c>
      <c r="I69" s="924">
        <v>0</v>
      </c>
      <c r="J69" s="924">
        <v>0</v>
      </c>
      <c r="K69" s="924">
        <v>0</v>
      </c>
      <c r="L69" s="799"/>
      <c r="M69" s="6"/>
    </row>
    <row r="70" spans="1:13" x14ac:dyDescent="0.25">
      <c r="A70" s="94">
        <f t="shared" si="2"/>
        <v>45</v>
      </c>
      <c r="B70" s="606" t="s">
        <v>184</v>
      </c>
      <c r="C70" s="934" t="s">
        <v>1388</v>
      </c>
      <c r="D70" s="924">
        <v>0</v>
      </c>
      <c r="E70" s="924">
        <v>0</v>
      </c>
      <c r="F70" s="924">
        <v>0</v>
      </c>
      <c r="G70" s="924">
        <v>0</v>
      </c>
      <c r="H70" s="924">
        <v>0</v>
      </c>
      <c r="I70" s="924">
        <v>0</v>
      </c>
      <c r="J70" s="924">
        <v>0</v>
      </c>
      <c r="K70" s="924">
        <v>0</v>
      </c>
      <c r="L70" s="799"/>
      <c r="M70" s="6"/>
    </row>
    <row r="71" spans="1:13" x14ac:dyDescent="0.25">
      <c r="A71" s="94">
        <f t="shared" si="2"/>
        <v>46</v>
      </c>
      <c r="B71" s="608" t="s">
        <v>185</v>
      </c>
      <c r="C71" s="934" t="s">
        <v>1388</v>
      </c>
      <c r="D71" s="924">
        <v>0</v>
      </c>
      <c r="E71" s="924">
        <v>0</v>
      </c>
      <c r="F71" s="924">
        <v>0</v>
      </c>
      <c r="G71" s="924">
        <v>0</v>
      </c>
      <c r="H71" s="924">
        <v>0</v>
      </c>
      <c r="I71" s="924">
        <v>0</v>
      </c>
      <c r="J71" s="924">
        <v>0</v>
      </c>
      <c r="K71" s="924">
        <v>0</v>
      </c>
      <c r="L71" s="799"/>
      <c r="M71" s="6"/>
    </row>
    <row r="72" spans="1:13" x14ac:dyDescent="0.25">
      <c r="A72" s="94">
        <f t="shared" si="2"/>
        <v>47</v>
      </c>
      <c r="B72" s="608" t="s">
        <v>1475</v>
      </c>
      <c r="C72" s="934" t="s">
        <v>1388</v>
      </c>
      <c r="D72" s="924">
        <v>0</v>
      </c>
      <c r="E72" s="924">
        <v>0</v>
      </c>
      <c r="F72" s="924">
        <v>0</v>
      </c>
      <c r="G72" s="924">
        <v>0</v>
      </c>
      <c r="H72" s="924">
        <v>0</v>
      </c>
      <c r="I72" s="924">
        <v>0</v>
      </c>
      <c r="J72" s="924">
        <v>0</v>
      </c>
      <c r="K72" s="924">
        <v>0</v>
      </c>
      <c r="L72" s="799"/>
      <c r="M72" s="6"/>
    </row>
    <row r="73" spans="1:13" x14ac:dyDescent="0.25">
      <c r="A73" s="94">
        <f t="shared" si="2"/>
        <v>48</v>
      </c>
      <c r="B73" s="606" t="s">
        <v>187</v>
      </c>
      <c r="C73" s="934" t="s">
        <v>1388</v>
      </c>
      <c r="D73" s="924">
        <v>0</v>
      </c>
      <c r="E73" s="924">
        <v>0</v>
      </c>
      <c r="F73" s="924">
        <v>0</v>
      </c>
      <c r="G73" s="924">
        <v>0</v>
      </c>
      <c r="H73" s="924">
        <v>0</v>
      </c>
      <c r="I73" s="924">
        <v>0</v>
      </c>
      <c r="J73" s="924">
        <v>0</v>
      </c>
      <c r="K73" s="924">
        <v>0</v>
      </c>
      <c r="L73" s="799"/>
      <c r="M73" s="6"/>
    </row>
    <row r="74" spans="1:13" x14ac:dyDescent="0.25">
      <c r="A74" s="94">
        <f t="shared" si="2"/>
        <v>49</v>
      </c>
      <c r="B74" s="608" t="s">
        <v>188</v>
      </c>
      <c r="C74" s="934" t="s">
        <v>1388</v>
      </c>
      <c r="D74" s="924">
        <v>0</v>
      </c>
      <c r="E74" s="924">
        <v>0</v>
      </c>
      <c r="F74" s="924">
        <v>0</v>
      </c>
      <c r="G74" s="924">
        <v>0</v>
      </c>
      <c r="H74" s="924">
        <v>0</v>
      </c>
      <c r="I74" s="924">
        <v>0</v>
      </c>
      <c r="J74" s="924">
        <v>0</v>
      </c>
      <c r="K74" s="924">
        <v>0</v>
      </c>
      <c r="L74" s="799"/>
      <c r="M74" s="6"/>
    </row>
    <row r="75" spans="1:13" x14ac:dyDescent="0.25">
      <c r="A75" s="94">
        <f t="shared" si="2"/>
        <v>50</v>
      </c>
      <c r="B75" s="608" t="s">
        <v>189</v>
      </c>
      <c r="C75" s="934" t="s">
        <v>1388</v>
      </c>
      <c r="D75" s="924">
        <v>0</v>
      </c>
      <c r="E75" s="924">
        <v>0</v>
      </c>
      <c r="F75" s="924">
        <v>0</v>
      </c>
      <c r="G75" s="924">
        <v>0</v>
      </c>
      <c r="H75" s="924">
        <v>0</v>
      </c>
      <c r="I75" s="924">
        <v>0</v>
      </c>
      <c r="J75" s="924">
        <v>0</v>
      </c>
      <c r="K75" s="924">
        <v>0</v>
      </c>
      <c r="L75" s="799"/>
      <c r="M75" s="6"/>
    </row>
    <row r="76" spans="1:13" x14ac:dyDescent="0.25">
      <c r="A76" s="94">
        <f t="shared" si="2"/>
        <v>51</v>
      </c>
      <c r="B76" s="608" t="s">
        <v>192</v>
      </c>
      <c r="C76" s="934" t="s">
        <v>1388</v>
      </c>
      <c r="D76" s="924">
        <v>0</v>
      </c>
      <c r="E76" s="924">
        <v>0</v>
      </c>
      <c r="F76" s="924">
        <v>0</v>
      </c>
      <c r="G76" s="924">
        <v>0</v>
      </c>
      <c r="H76" s="924">
        <v>0</v>
      </c>
      <c r="I76" s="924">
        <v>0</v>
      </c>
      <c r="J76" s="924">
        <v>0</v>
      </c>
      <c r="K76" s="924">
        <v>0</v>
      </c>
      <c r="L76" s="799"/>
      <c r="M76" s="6"/>
    </row>
    <row r="77" spans="1:13" x14ac:dyDescent="0.25">
      <c r="A77" s="94">
        <f t="shared" si="2"/>
        <v>52</v>
      </c>
      <c r="B77" s="608" t="s">
        <v>191</v>
      </c>
      <c r="C77" s="934" t="s">
        <v>1388</v>
      </c>
      <c r="D77" s="924">
        <v>0</v>
      </c>
      <c r="E77" s="924">
        <v>0</v>
      </c>
      <c r="F77" s="924">
        <v>0</v>
      </c>
      <c r="G77" s="924">
        <v>0</v>
      </c>
      <c r="H77" s="924">
        <v>0</v>
      </c>
      <c r="I77" s="924">
        <v>0</v>
      </c>
      <c r="J77" s="924">
        <v>0</v>
      </c>
      <c r="K77" s="924">
        <v>0</v>
      </c>
      <c r="L77" s="799"/>
      <c r="M77" s="6"/>
    </row>
    <row r="78" spans="1:13" ht="15" x14ac:dyDescent="0.4">
      <c r="A78" s="94">
        <f t="shared" si="2"/>
        <v>53</v>
      </c>
      <c r="B78" s="608" t="s">
        <v>181</v>
      </c>
      <c r="C78" s="934" t="s">
        <v>1388</v>
      </c>
      <c r="D78" s="924">
        <v>0</v>
      </c>
      <c r="E78" s="924">
        <v>0</v>
      </c>
      <c r="F78" s="924">
        <v>0</v>
      </c>
      <c r="G78" s="924">
        <v>0</v>
      </c>
      <c r="H78" s="924">
        <v>0</v>
      </c>
      <c r="I78" s="924">
        <v>0</v>
      </c>
      <c r="J78" s="924">
        <v>0</v>
      </c>
      <c r="K78" s="925">
        <v>0</v>
      </c>
      <c r="L78" s="800"/>
      <c r="M78" s="6"/>
    </row>
    <row r="79" spans="1:13" x14ac:dyDescent="0.25">
      <c r="A79" s="94">
        <f t="shared" si="2"/>
        <v>54</v>
      </c>
      <c r="C79" s="640" t="s">
        <v>1626</v>
      </c>
      <c r="K79" s="939">
        <v>0</v>
      </c>
      <c r="L79" s="802"/>
    </row>
    <row r="81" spans="1:11" x14ac:dyDescent="0.25">
      <c r="B81" s="611" t="s">
        <v>1953</v>
      </c>
    </row>
    <row r="82" spans="1:11" s="641" customFormat="1" x14ac:dyDescent="0.25">
      <c r="B82" s="642" t="s">
        <v>1954</v>
      </c>
      <c r="D82" s="1175" t="s">
        <v>226</v>
      </c>
      <c r="E82" s="1175"/>
    </row>
    <row r="83" spans="1:11" s="636" customFormat="1" x14ac:dyDescent="0.25">
      <c r="D83" s="636" t="s">
        <v>363</v>
      </c>
      <c r="E83" s="636" t="s">
        <v>347</v>
      </c>
      <c r="F83" s="636" t="s">
        <v>348</v>
      </c>
      <c r="G83" s="636" t="s">
        <v>349</v>
      </c>
      <c r="H83" s="636" t="s">
        <v>350</v>
      </c>
      <c r="I83" s="636" t="s">
        <v>351</v>
      </c>
      <c r="J83" s="636" t="s">
        <v>352</v>
      </c>
      <c r="K83" s="636" t="s">
        <v>541</v>
      </c>
    </row>
    <row r="84" spans="1:11" s="641" customFormat="1" ht="25.95" customHeight="1" x14ac:dyDescent="0.25">
      <c r="D84" s="643"/>
      <c r="E84" s="644" t="s">
        <v>2094</v>
      </c>
      <c r="F84" s="645" t="s">
        <v>1955</v>
      </c>
      <c r="G84" s="452"/>
      <c r="H84" s="643"/>
      <c r="I84" s="644" t="s">
        <v>2095</v>
      </c>
      <c r="J84" s="644" t="s">
        <v>1956</v>
      </c>
      <c r="K84" s="644" t="s">
        <v>1957</v>
      </c>
    </row>
    <row r="85" spans="1:11" s="641" customFormat="1" x14ac:dyDescent="0.25">
      <c r="D85" s="643"/>
      <c r="E85" s="646"/>
      <c r="F85" s="646"/>
      <c r="G85" s="547" t="str">
        <f>G51</f>
        <v>Unloaded</v>
      </c>
      <c r="H85" s="643"/>
      <c r="I85" s="646"/>
      <c r="J85" s="646"/>
      <c r="K85" s="547"/>
    </row>
    <row r="86" spans="1:11" s="638" customFormat="1" x14ac:dyDescent="0.25">
      <c r="D86" s="638" t="str">
        <f>D$52</f>
        <v>Forecast</v>
      </c>
      <c r="E86" s="638" t="str">
        <f t="shared" ref="E86:J86" si="3">E$52</f>
        <v>Corporate</v>
      </c>
      <c r="F86" s="638" t="str">
        <f t="shared" si="3"/>
        <v xml:space="preserve">Total </v>
      </c>
      <c r="G86" s="547" t="str">
        <f>G52</f>
        <v>Total</v>
      </c>
      <c r="H86" s="638" t="str">
        <f t="shared" si="3"/>
        <v>Prior Period</v>
      </c>
      <c r="I86" s="638" t="str">
        <f t="shared" si="3"/>
        <v>Over Heads</v>
      </c>
      <c r="J86" s="638" t="str">
        <f t="shared" si="3"/>
        <v>Forecast</v>
      </c>
      <c r="K86" s="547" t="str">
        <f>K$52</f>
        <v>Forecast Period</v>
      </c>
    </row>
    <row r="87" spans="1:11" s="641" customFormat="1" x14ac:dyDescent="0.25">
      <c r="A87" s="844" t="s">
        <v>332</v>
      </c>
      <c r="B87" s="605" t="s">
        <v>193</v>
      </c>
      <c r="C87" s="605" t="s">
        <v>194</v>
      </c>
      <c r="D87" s="636" t="str">
        <f>D$53</f>
        <v>Expenditures</v>
      </c>
      <c r="E87" s="636" t="str">
        <f t="shared" ref="E87:J87" si="4">E$53</f>
        <v>Overheads</v>
      </c>
      <c r="F87" s="636" t="str">
        <f t="shared" si="4"/>
        <v>CWIP Exp</v>
      </c>
      <c r="G87" s="3" t="str">
        <f>G53</f>
        <v>Plant Adds</v>
      </c>
      <c r="H87" s="636" t="str">
        <f t="shared" si="4"/>
        <v>CWIP Closed</v>
      </c>
      <c r="I87" s="636" t="str">
        <f t="shared" si="4"/>
        <v>Closed to PIS</v>
      </c>
      <c r="J87" s="636" t="str">
        <f t="shared" si="4"/>
        <v>Period CWIP</v>
      </c>
      <c r="K87" s="636" t="str">
        <f>K$53</f>
        <v>Incremental CWIP</v>
      </c>
    </row>
    <row r="88" spans="1:11" s="641" customFormat="1" x14ac:dyDescent="0.25">
      <c r="A88" s="94">
        <f>A79+1</f>
        <v>55</v>
      </c>
      <c r="B88" s="606" t="s">
        <v>181</v>
      </c>
      <c r="C88" s="934" t="s">
        <v>1388</v>
      </c>
      <c r="D88" s="645" t="s">
        <v>77</v>
      </c>
      <c r="E88" s="645" t="s">
        <v>77</v>
      </c>
      <c r="F88" s="645" t="s">
        <v>77</v>
      </c>
      <c r="G88" s="645" t="s">
        <v>77</v>
      </c>
      <c r="H88" s="645" t="s">
        <v>77</v>
      </c>
      <c r="I88" s="645" t="s">
        <v>77</v>
      </c>
      <c r="J88" s="924">
        <v>0</v>
      </c>
      <c r="K88" s="645" t="s">
        <v>77</v>
      </c>
    </row>
    <row r="89" spans="1:11" s="641" customFormat="1" x14ac:dyDescent="0.25">
      <c r="A89" s="94">
        <f>A88+1</f>
        <v>56</v>
      </c>
      <c r="B89" s="606" t="s">
        <v>182</v>
      </c>
      <c r="C89" s="934" t="s">
        <v>1388</v>
      </c>
      <c r="D89" s="932">
        <v>0</v>
      </c>
      <c r="E89" s="924">
        <v>0</v>
      </c>
      <c r="F89" s="924">
        <v>0</v>
      </c>
      <c r="G89" s="932">
        <v>0</v>
      </c>
      <c r="H89" s="932">
        <v>0</v>
      </c>
      <c r="I89" s="924">
        <v>0</v>
      </c>
      <c r="J89" s="924">
        <v>0</v>
      </c>
      <c r="K89" s="924">
        <v>0</v>
      </c>
    </row>
    <row r="90" spans="1:11" s="641" customFormat="1" x14ac:dyDescent="0.25">
      <c r="A90" s="94">
        <f t="shared" ref="A90:A108" si="5">A89+1</f>
        <v>57</v>
      </c>
      <c r="B90" s="608" t="s">
        <v>183</v>
      </c>
      <c r="C90" s="934" t="s">
        <v>1388</v>
      </c>
      <c r="D90" s="932">
        <v>0</v>
      </c>
      <c r="E90" s="924">
        <v>0</v>
      </c>
      <c r="F90" s="924">
        <v>0</v>
      </c>
      <c r="G90" s="932">
        <v>0</v>
      </c>
      <c r="H90" s="932">
        <v>0</v>
      </c>
      <c r="I90" s="924">
        <v>0</v>
      </c>
      <c r="J90" s="924">
        <v>0</v>
      </c>
      <c r="K90" s="924">
        <v>0</v>
      </c>
    </row>
    <row r="91" spans="1:11" s="641" customFormat="1" x14ac:dyDescent="0.25">
      <c r="A91" s="94">
        <f t="shared" si="5"/>
        <v>58</v>
      </c>
      <c r="B91" s="608" t="s">
        <v>196</v>
      </c>
      <c r="C91" s="934" t="s">
        <v>1388</v>
      </c>
      <c r="D91" s="932">
        <v>0</v>
      </c>
      <c r="E91" s="924">
        <v>0</v>
      </c>
      <c r="F91" s="924">
        <v>0</v>
      </c>
      <c r="G91" s="932">
        <v>0</v>
      </c>
      <c r="H91" s="932">
        <v>0</v>
      </c>
      <c r="I91" s="924">
        <v>0</v>
      </c>
      <c r="J91" s="924">
        <v>0</v>
      </c>
      <c r="K91" s="924">
        <v>0</v>
      </c>
    </row>
    <row r="92" spans="1:11" s="641" customFormat="1" x14ac:dyDescent="0.25">
      <c r="A92" s="94">
        <f t="shared" si="5"/>
        <v>59</v>
      </c>
      <c r="B92" s="606" t="s">
        <v>184</v>
      </c>
      <c r="C92" s="934" t="s">
        <v>1388</v>
      </c>
      <c r="D92" s="932">
        <v>0</v>
      </c>
      <c r="E92" s="924">
        <v>0</v>
      </c>
      <c r="F92" s="924">
        <v>0</v>
      </c>
      <c r="G92" s="932">
        <v>0</v>
      </c>
      <c r="H92" s="932">
        <v>0</v>
      </c>
      <c r="I92" s="924">
        <v>0</v>
      </c>
      <c r="J92" s="924">
        <v>0</v>
      </c>
      <c r="K92" s="924">
        <v>0</v>
      </c>
    </row>
    <row r="93" spans="1:11" s="641" customFormat="1" x14ac:dyDescent="0.25">
      <c r="A93" s="94">
        <f t="shared" si="5"/>
        <v>60</v>
      </c>
      <c r="B93" s="608" t="s">
        <v>185</v>
      </c>
      <c r="C93" s="934" t="s">
        <v>1388</v>
      </c>
      <c r="D93" s="932">
        <v>0</v>
      </c>
      <c r="E93" s="924">
        <v>0</v>
      </c>
      <c r="F93" s="924">
        <v>0</v>
      </c>
      <c r="G93" s="932">
        <v>0</v>
      </c>
      <c r="H93" s="932">
        <v>0</v>
      </c>
      <c r="I93" s="924">
        <v>0</v>
      </c>
      <c r="J93" s="924">
        <v>0</v>
      </c>
      <c r="K93" s="924">
        <v>0</v>
      </c>
    </row>
    <row r="94" spans="1:11" s="641" customFormat="1" x14ac:dyDescent="0.25">
      <c r="A94" s="94">
        <f t="shared" si="5"/>
        <v>61</v>
      </c>
      <c r="B94" s="608" t="s">
        <v>1475</v>
      </c>
      <c r="C94" s="934" t="s">
        <v>1388</v>
      </c>
      <c r="D94" s="932">
        <v>0</v>
      </c>
      <c r="E94" s="924">
        <v>0</v>
      </c>
      <c r="F94" s="924">
        <v>0</v>
      </c>
      <c r="G94" s="932">
        <v>0</v>
      </c>
      <c r="H94" s="932">
        <v>0</v>
      </c>
      <c r="I94" s="924">
        <v>0</v>
      </c>
      <c r="J94" s="924">
        <v>0</v>
      </c>
      <c r="K94" s="924">
        <v>0</v>
      </c>
    </row>
    <row r="95" spans="1:11" s="641" customFormat="1" x14ac:dyDescent="0.25">
      <c r="A95" s="94">
        <f t="shared" si="5"/>
        <v>62</v>
      </c>
      <c r="B95" s="606" t="s">
        <v>187</v>
      </c>
      <c r="C95" s="934" t="s">
        <v>1388</v>
      </c>
      <c r="D95" s="932">
        <v>0</v>
      </c>
      <c r="E95" s="924">
        <v>0</v>
      </c>
      <c r="F95" s="924">
        <v>0</v>
      </c>
      <c r="G95" s="932">
        <v>0</v>
      </c>
      <c r="H95" s="932">
        <v>0</v>
      </c>
      <c r="I95" s="924">
        <v>0</v>
      </c>
      <c r="J95" s="924">
        <v>0</v>
      </c>
      <c r="K95" s="924">
        <v>0</v>
      </c>
    </row>
    <row r="96" spans="1:11" s="641" customFormat="1" x14ac:dyDescent="0.25">
      <c r="A96" s="94">
        <f t="shared" si="5"/>
        <v>63</v>
      </c>
      <c r="B96" s="608" t="s">
        <v>188</v>
      </c>
      <c r="C96" s="934" t="s">
        <v>1388</v>
      </c>
      <c r="D96" s="932">
        <v>0</v>
      </c>
      <c r="E96" s="924">
        <v>0</v>
      </c>
      <c r="F96" s="924">
        <v>0</v>
      </c>
      <c r="G96" s="932">
        <v>0</v>
      </c>
      <c r="H96" s="932">
        <v>0</v>
      </c>
      <c r="I96" s="924">
        <v>0</v>
      </c>
      <c r="J96" s="924">
        <v>0</v>
      </c>
      <c r="K96" s="924">
        <v>0</v>
      </c>
    </row>
    <row r="97" spans="1:11" s="641" customFormat="1" x14ac:dyDescent="0.25">
      <c r="A97" s="94">
        <f t="shared" si="5"/>
        <v>64</v>
      </c>
      <c r="B97" s="608" t="s">
        <v>189</v>
      </c>
      <c r="C97" s="934" t="s">
        <v>1388</v>
      </c>
      <c r="D97" s="932">
        <v>0</v>
      </c>
      <c r="E97" s="924">
        <v>0</v>
      </c>
      <c r="F97" s="924">
        <v>0</v>
      </c>
      <c r="G97" s="932">
        <v>0</v>
      </c>
      <c r="H97" s="932">
        <v>0</v>
      </c>
      <c r="I97" s="924">
        <v>0</v>
      </c>
      <c r="J97" s="924">
        <v>0</v>
      </c>
      <c r="K97" s="924">
        <v>0</v>
      </c>
    </row>
    <row r="98" spans="1:11" s="641" customFormat="1" x14ac:dyDescent="0.25">
      <c r="A98" s="94">
        <f t="shared" si="5"/>
        <v>65</v>
      </c>
      <c r="B98" s="606" t="s">
        <v>192</v>
      </c>
      <c r="C98" s="934" t="s">
        <v>1388</v>
      </c>
      <c r="D98" s="932">
        <v>0</v>
      </c>
      <c r="E98" s="924">
        <v>0</v>
      </c>
      <c r="F98" s="924">
        <v>0</v>
      </c>
      <c r="G98" s="932">
        <v>0</v>
      </c>
      <c r="H98" s="932">
        <v>0</v>
      </c>
      <c r="I98" s="924">
        <v>0</v>
      </c>
      <c r="J98" s="924">
        <v>0</v>
      </c>
      <c r="K98" s="924">
        <v>0</v>
      </c>
    </row>
    <row r="99" spans="1:11" s="641" customFormat="1" x14ac:dyDescent="0.25">
      <c r="A99" s="94">
        <f t="shared" si="5"/>
        <v>66</v>
      </c>
      <c r="B99" s="606" t="s">
        <v>191</v>
      </c>
      <c r="C99" s="934" t="s">
        <v>1388</v>
      </c>
      <c r="D99" s="932">
        <v>0</v>
      </c>
      <c r="E99" s="924">
        <v>0</v>
      </c>
      <c r="F99" s="924">
        <v>0</v>
      </c>
      <c r="G99" s="932">
        <v>0</v>
      </c>
      <c r="H99" s="932">
        <v>0</v>
      </c>
      <c r="I99" s="924">
        <v>0</v>
      </c>
      <c r="J99" s="924">
        <v>0</v>
      </c>
      <c r="K99" s="924">
        <v>0</v>
      </c>
    </row>
    <row r="100" spans="1:11" s="641" customFormat="1" x14ac:dyDescent="0.25">
      <c r="A100" s="94">
        <f t="shared" si="5"/>
        <v>67</v>
      </c>
      <c r="B100" s="606" t="s">
        <v>181</v>
      </c>
      <c r="C100" s="934" t="s">
        <v>1388</v>
      </c>
      <c r="D100" s="932">
        <v>0</v>
      </c>
      <c r="E100" s="924">
        <v>0</v>
      </c>
      <c r="F100" s="924">
        <v>0</v>
      </c>
      <c r="G100" s="932">
        <v>0</v>
      </c>
      <c r="H100" s="932">
        <v>0</v>
      </c>
      <c r="I100" s="924">
        <v>0</v>
      </c>
      <c r="J100" s="924">
        <v>0</v>
      </c>
      <c r="K100" s="924">
        <v>0</v>
      </c>
    </row>
    <row r="101" spans="1:11" s="641" customFormat="1" x14ac:dyDescent="0.25">
      <c r="A101" s="94">
        <f t="shared" si="5"/>
        <v>68</v>
      </c>
      <c r="B101" s="606" t="s">
        <v>182</v>
      </c>
      <c r="C101" s="934" t="s">
        <v>1388</v>
      </c>
      <c r="D101" s="932">
        <v>0</v>
      </c>
      <c r="E101" s="924">
        <v>0</v>
      </c>
      <c r="F101" s="924">
        <v>0</v>
      </c>
      <c r="G101" s="932">
        <v>0</v>
      </c>
      <c r="H101" s="932">
        <v>0</v>
      </c>
      <c r="I101" s="924">
        <v>0</v>
      </c>
      <c r="J101" s="924">
        <v>0</v>
      </c>
      <c r="K101" s="924">
        <v>0</v>
      </c>
    </row>
    <row r="102" spans="1:11" s="641" customFormat="1" x14ac:dyDescent="0.25">
      <c r="A102" s="94">
        <f t="shared" si="5"/>
        <v>69</v>
      </c>
      <c r="B102" s="608" t="s">
        <v>183</v>
      </c>
      <c r="C102" s="934" t="s">
        <v>1388</v>
      </c>
      <c r="D102" s="932">
        <v>0</v>
      </c>
      <c r="E102" s="924">
        <v>0</v>
      </c>
      <c r="F102" s="924">
        <v>0</v>
      </c>
      <c r="G102" s="932">
        <v>0</v>
      </c>
      <c r="H102" s="932">
        <v>0</v>
      </c>
      <c r="I102" s="924">
        <v>0</v>
      </c>
      <c r="J102" s="924">
        <v>0</v>
      </c>
      <c r="K102" s="924">
        <v>0</v>
      </c>
    </row>
    <row r="103" spans="1:11" s="641" customFormat="1" x14ac:dyDescent="0.25">
      <c r="A103" s="94">
        <f t="shared" si="5"/>
        <v>70</v>
      </c>
      <c r="B103" s="608" t="s">
        <v>196</v>
      </c>
      <c r="C103" s="934" t="s">
        <v>1388</v>
      </c>
      <c r="D103" s="932">
        <v>0</v>
      </c>
      <c r="E103" s="924">
        <v>0</v>
      </c>
      <c r="F103" s="924">
        <v>0</v>
      </c>
      <c r="G103" s="932">
        <v>0</v>
      </c>
      <c r="H103" s="932">
        <v>0</v>
      </c>
      <c r="I103" s="924">
        <v>0</v>
      </c>
      <c r="J103" s="924">
        <v>0</v>
      </c>
      <c r="K103" s="924">
        <v>0</v>
      </c>
    </row>
    <row r="104" spans="1:11" s="641" customFormat="1" x14ac:dyDescent="0.25">
      <c r="A104" s="94">
        <f t="shared" si="5"/>
        <v>71</v>
      </c>
      <c r="B104" s="606" t="s">
        <v>184</v>
      </c>
      <c r="C104" s="934" t="s">
        <v>1388</v>
      </c>
      <c r="D104" s="932">
        <v>0</v>
      </c>
      <c r="E104" s="924">
        <v>0</v>
      </c>
      <c r="F104" s="924">
        <v>0</v>
      </c>
      <c r="G104" s="932">
        <v>0</v>
      </c>
      <c r="H104" s="932">
        <v>0</v>
      </c>
      <c r="I104" s="924">
        <v>0</v>
      </c>
      <c r="J104" s="924">
        <v>0</v>
      </c>
      <c r="K104" s="924">
        <v>0</v>
      </c>
    </row>
    <row r="105" spans="1:11" s="641" customFormat="1" x14ac:dyDescent="0.25">
      <c r="A105" s="94">
        <f t="shared" si="5"/>
        <v>72</v>
      </c>
      <c r="B105" s="608" t="s">
        <v>185</v>
      </c>
      <c r="C105" s="934" t="s">
        <v>1388</v>
      </c>
      <c r="D105" s="932">
        <v>0</v>
      </c>
      <c r="E105" s="924">
        <v>0</v>
      </c>
      <c r="F105" s="924">
        <v>0</v>
      </c>
      <c r="G105" s="932">
        <v>0</v>
      </c>
      <c r="H105" s="932">
        <v>0</v>
      </c>
      <c r="I105" s="924">
        <v>0</v>
      </c>
      <c r="J105" s="924">
        <v>0</v>
      </c>
      <c r="K105" s="924">
        <v>0</v>
      </c>
    </row>
    <row r="106" spans="1:11" s="641" customFormat="1" x14ac:dyDescent="0.25">
      <c r="A106" s="94">
        <f t="shared" si="5"/>
        <v>73</v>
      </c>
      <c r="B106" s="608" t="s">
        <v>1475</v>
      </c>
      <c r="C106" s="934" t="s">
        <v>1388</v>
      </c>
      <c r="D106" s="932">
        <v>0</v>
      </c>
      <c r="E106" s="924">
        <v>0</v>
      </c>
      <c r="F106" s="924">
        <v>0</v>
      </c>
      <c r="G106" s="932">
        <v>0</v>
      </c>
      <c r="H106" s="932">
        <v>0</v>
      </c>
      <c r="I106" s="924">
        <v>0</v>
      </c>
      <c r="J106" s="924">
        <v>0</v>
      </c>
      <c r="K106" s="924">
        <v>0</v>
      </c>
    </row>
    <row r="107" spans="1:11" s="641" customFormat="1" x14ac:dyDescent="0.25">
      <c r="A107" s="94">
        <f t="shared" si="5"/>
        <v>74</v>
      </c>
      <c r="B107" s="606" t="s">
        <v>187</v>
      </c>
      <c r="C107" s="934" t="s">
        <v>1388</v>
      </c>
      <c r="D107" s="932">
        <v>0</v>
      </c>
      <c r="E107" s="924">
        <v>0</v>
      </c>
      <c r="F107" s="924">
        <v>0</v>
      </c>
      <c r="G107" s="932">
        <v>0</v>
      </c>
      <c r="H107" s="932">
        <v>0</v>
      </c>
      <c r="I107" s="924">
        <v>0</v>
      </c>
      <c r="J107" s="924">
        <v>0</v>
      </c>
      <c r="K107" s="924">
        <v>0</v>
      </c>
    </row>
    <row r="108" spans="1:11" s="641" customFormat="1" x14ac:dyDescent="0.25">
      <c r="A108" s="94">
        <f t="shared" si="5"/>
        <v>75</v>
      </c>
      <c r="B108" s="608" t="s">
        <v>188</v>
      </c>
      <c r="C108" s="934" t="s">
        <v>1388</v>
      </c>
      <c r="D108" s="932">
        <v>0</v>
      </c>
      <c r="E108" s="924">
        <v>0</v>
      </c>
      <c r="F108" s="924">
        <v>0</v>
      </c>
      <c r="G108" s="932">
        <v>0</v>
      </c>
      <c r="H108" s="932">
        <v>0</v>
      </c>
      <c r="I108" s="924">
        <v>0</v>
      </c>
      <c r="J108" s="924">
        <v>0</v>
      </c>
      <c r="K108" s="924">
        <v>0</v>
      </c>
    </row>
    <row r="109" spans="1:11" s="641" customFormat="1" x14ac:dyDescent="0.25">
      <c r="A109" s="94">
        <f>A108+1</f>
        <v>76</v>
      </c>
      <c r="B109" s="608" t="s">
        <v>189</v>
      </c>
      <c r="C109" s="934" t="s">
        <v>1388</v>
      </c>
      <c r="D109" s="932">
        <v>0</v>
      </c>
      <c r="E109" s="924">
        <v>0</v>
      </c>
      <c r="F109" s="924">
        <v>0</v>
      </c>
      <c r="G109" s="932">
        <v>0</v>
      </c>
      <c r="H109" s="932">
        <v>0</v>
      </c>
      <c r="I109" s="924">
        <v>0</v>
      </c>
      <c r="J109" s="924">
        <v>0</v>
      </c>
      <c r="K109" s="924">
        <v>0</v>
      </c>
    </row>
    <row r="110" spans="1:11" s="641" customFormat="1" x14ac:dyDescent="0.25">
      <c r="A110" s="94">
        <f t="shared" ref="A110:A113" si="6">A109+1</f>
        <v>77</v>
      </c>
      <c r="B110" s="608" t="s">
        <v>192</v>
      </c>
      <c r="C110" s="934" t="s">
        <v>1388</v>
      </c>
      <c r="D110" s="932">
        <v>0</v>
      </c>
      <c r="E110" s="924">
        <v>0</v>
      </c>
      <c r="F110" s="924">
        <v>0</v>
      </c>
      <c r="G110" s="932">
        <v>0</v>
      </c>
      <c r="H110" s="932">
        <v>0</v>
      </c>
      <c r="I110" s="924">
        <v>0</v>
      </c>
      <c r="J110" s="924">
        <v>0</v>
      </c>
      <c r="K110" s="924">
        <v>0</v>
      </c>
    </row>
    <row r="111" spans="1:11" s="641" customFormat="1" x14ac:dyDescent="0.25">
      <c r="A111" s="94">
        <f t="shared" si="6"/>
        <v>78</v>
      </c>
      <c r="B111" s="608" t="s">
        <v>191</v>
      </c>
      <c r="C111" s="934" t="s">
        <v>1388</v>
      </c>
      <c r="D111" s="932">
        <v>0</v>
      </c>
      <c r="E111" s="924">
        <v>0</v>
      </c>
      <c r="F111" s="924">
        <v>0</v>
      </c>
      <c r="G111" s="932">
        <v>0</v>
      </c>
      <c r="H111" s="932">
        <v>0</v>
      </c>
      <c r="I111" s="924">
        <v>0</v>
      </c>
      <c r="J111" s="924">
        <v>0</v>
      </c>
      <c r="K111" s="924">
        <v>0</v>
      </c>
    </row>
    <row r="112" spans="1:11" s="641" customFormat="1" ht="15" x14ac:dyDescent="0.4">
      <c r="A112" s="94">
        <f t="shared" si="6"/>
        <v>79</v>
      </c>
      <c r="B112" s="608" t="s">
        <v>181</v>
      </c>
      <c r="C112" s="934" t="s">
        <v>1388</v>
      </c>
      <c r="D112" s="932">
        <v>0</v>
      </c>
      <c r="E112" s="924">
        <v>0</v>
      </c>
      <c r="F112" s="924">
        <v>0</v>
      </c>
      <c r="G112" s="932">
        <v>0</v>
      </c>
      <c r="H112" s="932">
        <v>0</v>
      </c>
      <c r="I112" s="924">
        <v>0</v>
      </c>
      <c r="J112" s="924">
        <v>0</v>
      </c>
      <c r="K112" s="925">
        <v>0</v>
      </c>
    </row>
    <row r="113" spans="1:11" s="641" customFormat="1" x14ac:dyDescent="0.25">
      <c r="A113" s="94">
        <f t="shared" si="6"/>
        <v>80</v>
      </c>
      <c r="B113"/>
      <c r="C113" s="640" t="s">
        <v>1626</v>
      </c>
      <c r="D113"/>
      <c r="E113"/>
      <c r="F113"/>
      <c r="G113"/>
      <c r="H113"/>
      <c r="I113"/>
      <c r="J113"/>
      <c r="K113" s="939">
        <v>0</v>
      </c>
    </row>
    <row r="114" spans="1:11" s="641" customFormat="1" x14ac:dyDescent="0.25">
      <c r="A114" s="94"/>
      <c r="B114"/>
      <c r="C114" s="640"/>
      <c r="D114"/>
      <c r="E114"/>
      <c r="F114"/>
      <c r="G114"/>
      <c r="H114"/>
      <c r="I114"/>
      <c r="J114"/>
      <c r="K114" s="66"/>
    </row>
    <row r="115" spans="1:11" s="641" customFormat="1" x14ac:dyDescent="0.25">
      <c r="B115" s="642" t="s">
        <v>1958</v>
      </c>
      <c r="D115" s="1175" t="s">
        <v>1959</v>
      </c>
      <c r="E115" s="1175"/>
    </row>
    <row r="116" spans="1:11" s="641" customFormat="1" x14ac:dyDescent="0.25">
      <c r="A116" s="636"/>
      <c r="B116" s="636"/>
      <c r="C116" s="636"/>
      <c r="D116" s="636" t="s">
        <v>363</v>
      </c>
      <c r="E116" s="636" t="s">
        <v>347</v>
      </c>
      <c r="F116" s="636" t="s">
        <v>348</v>
      </c>
      <c r="G116" s="636" t="s">
        <v>349</v>
      </c>
      <c r="H116" s="636" t="s">
        <v>350</v>
      </c>
      <c r="I116" s="636" t="s">
        <v>351</v>
      </c>
      <c r="J116" s="636" t="s">
        <v>352</v>
      </c>
      <c r="K116" s="636" t="s">
        <v>541</v>
      </c>
    </row>
    <row r="117" spans="1:11" s="641" customFormat="1" ht="26.4" x14ac:dyDescent="0.25">
      <c r="D117" s="643"/>
      <c r="E117" s="644" t="s">
        <v>2094</v>
      </c>
      <c r="F117" s="645" t="s">
        <v>1955</v>
      </c>
      <c r="G117" s="452"/>
      <c r="H117" s="643"/>
      <c r="I117" s="644" t="s">
        <v>2095</v>
      </c>
      <c r="J117" s="644" t="s">
        <v>1956</v>
      </c>
      <c r="K117" s="644" t="s">
        <v>1957</v>
      </c>
    </row>
    <row r="118" spans="1:11" s="641" customFormat="1" x14ac:dyDescent="0.25">
      <c r="D118" s="643"/>
      <c r="E118" s="643"/>
      <c r="F118" s="643"/>
      <c r="G118" s="547" t="str">
        <f>G51</f>
        <v>Unloaded</v>
      </c>
      <c r="H118" s="643"/>
      <c r="I118" s="643"/>
    </row>
    <row r="119" spans="1:11" s="641" customFormat="1" x14ac:dyDescent="0.25">
      <c r="A119" s="638"/>
      <c r="B119" s="638"/>
      <c r="C119" s="638"/>
      <c r="D119" s="638" t="str">
        <f>D$52</f>
        <v>Forecast</v>
      </c>
      <c r="E119" s="638" t="str">
        <f t="shared" ref="E119:J119" si="7">E$52</f>
        <v>Corporate</v>
      </c>
      <c r="F119" s="638" t="str">
        <f t="shared" si="7"/>
        <v xml:space="preserve">Total </v>
      </c>
      <c r="G119" s="547" t="str">
        <f>G52</f>
        <v>Total</v>
      </c>
      <c r="H119" s="638" t="str">
        <f t="shared" si="7"/>
        <v>Prior Period</v>
      </c>
      <c r="I119" s="638" t="str">
        <f t="shared" si="7"/>
        <v>Over Heads</v>
      </c>
      <c r="J119" s="638" t="str">
        <f t="shared" si="7"/>
        <v>Forecast</v>
      </c>
      <c r="K119" s="547" t="str">
        <f>K$52</f>
        <v>Forecast Period</v>
      </c>
    </row>
    <row r="120" spans="1:11" s="641" customFormat="1" x14ac:dyDescent="0.25">
      <c r="A120" s="844" t="s">
        <v>332</v>
      </c>
      <c r="B120" s="605" t="s">
        <v>193</v>
      </c>
      <c r="C120" s="605" t="s">
        <v>194</v>
      </c>
      <c r="D120" s="636" t="str">
        <f>D$53</f>
        <v>Expenditures</v>
      </c>
      <c r="E120" s="636" t="str">
        <f t="shared" ref="E120:J120" si="8">E$53</f>
        <v>Overheads</v>
      </c>
      <c r="F120" s="636" t="str">
        <f t="shared" si="8"/>
        <v>CWIP Exp</v>
      </c>
      <c r="G120" s="3" t="str">
        <f>G53</f>
        <v>Plant Adds</v>
      </c>
      <c r="H120" s="636" t="str">
        <f t="shared" si="8"/>
        <v>CWIP Closed</v>
      </c>
      <c r="I120" s="636" t="str">
        <f t="shared" si="8"/>
        <v>Closed to PIS</v>
      </c>
      <c r="J120" s="636" t="str">
        <f t="shared" si="8"/>
        <v>Period CWIP</v>
      </c>
      <c r="K120" s="636" t="str">
        <f>K$53</f>
        <v>Incremental CWIP</v>
      </c>
    </row>
    <row r="121" spans="1:11" s="641" customFormat="1" x14ac:dyDescent="0.25">
      <c r="A121" s="94">
        <f>A113+1</f>
        <v>81</v>
      </c>
      <c r="B121" s="606" t="s">
        <v>181</v>
      </c>
      <c r="C121" s="934" t="s">
        <v>1388</v>
      </c>
      <c r="D121" s="645" t="s">
        <v>77</v>
      </c>
      <c r="E121" s="645" t="s">
        <v>77</v>
      </c>
      <c r="F121" s="645" t="s">
        <v>77</v>
      </c>
      <c r="G121" s="645" t="s">
        <v>77</v>
      </c>
      <c r="H121" s="645" t="s">
        <v>77</v>
      </c>
      <c r="I121" s="645" t="s">
        <v>77</v>
      </c>
      <c r="J121" s="56">
        <f>F25</f>
        <v>0</v>
      </c>
      <c r="K121" s="645" t="s">
        <v>77</v>
      </c>
    </row>
    <row r="122" spans="1:11" s="641" customFormat="1" x14ac:dyDescent="0.25">
      <c r="A122" s="94">
        <f>A121+1</f>
        <v>82</v>
      </c>
      <c r="B122" s="606" t="s">
        <v>182</v>
      </c>
      <c r="C122" s="934" t="s">
        <v>1388</v>
      </c>
      <c r="D122" s="932">
        <v>0</v>
      </c>
      <c r="E122" s="924">
        <v>0</v>
      </c>
      <c r="F122" s="924">
        <v>0</v>
      </c>
      <c r="G122" s="932">
        <v>0</v>
      </c>
      <c r="H122" s="932">
        <v>0</v>
      </c>
      <c r="I122" s="924">
        <v>0</v>
      </c>
      <c r="J122" s="924">
        <v>0</v>
      </c>
      <c r="K122" s="924">
        <v>0</v>
      </c>
    </row>
    <row r="123" spans="1:11" s="641" customFormat="1" x14ac:dyDescent="0.25">
      <c r="A123" s="94">
        <f t="shared" ref="A123:A146" si="9">A122+1</f>
        <v>83</v>
      </c>
      <c r="B123" s="608" t="s">
        <v>183</v>
      </c>
      <c r="C123" s="934" t="s">
        <v>1388</v>
      </c>
      <c r="D123" s="932">
        <v>0</v>
      </c>
      <c r="E123" s="924">
        <v>0</v>
      </c>
      <c r="F123" s="924">
        <v>0</v>
      </c>
      <c r="G123" s="932">
        <v>0</v>
      </c>
      <c r="H123" s="932">
        <v>0</v>
      </c>
      <c r="I123" s="924">
        <v>0</v>
      </c>
      <c r="J123" s="924">
        <v>0</v>
      </c>
      <c r="K123" s="924">
        <v>0</v>
      </c>
    </row>
    <row r="124" spans="1:11" s="641" customFormat="1" x14ac:dyDescent="0.25">
      <c r="A124" s="94">
        <f t="shared" si="9"/>
        <v>84</v>
      </c>
      <c r="B124" s="608" t="s">
        <v>196</v>
      </c>
      <c r="C124" s="934" t="s">
        <v>1388</v>
      </c>
      <c r="D124" s="932">
        <v>0</v>
      </c>
      <c r="E124" s="924">
        <v>0</v>
      </c>
      <c r="F124" s="924">
        <v>0</v>
      </c>
      <c r="G124" s="932">
        <v>0</v>
      </c>
      <c r="H124" s="932">
        <v>0</v>
      </c>
      <c r="I124" s="924">
        <v>0</v>
      </c>
      <c r="J124" s="924">
        <v>0</v>
      </c>
      <c r="K124" s="924">
        <v>0</v>
      </c>
    </row>
    <row r="125" spans="1:11" s="641" customFormat="1" x14ac:dyDescent="0.25">
      <c r="A125" s="94">
        <f t="shared" si="9"/>
        <v>85</v>
      </c>
      <c r="B125" s="606" t="s">
        <v>184</v>
      </c>
      <c r="C125" s="934" t="s">
        <v>1388</v>
      </c>
      <c r="D125" s="932">
        <v>0</v>
      </c>
      <c r="E125" s="924">
        <v>0</v>
      </c>
      <c r="F125" s="924">
        <v>0</v>
      </c>
      <c r="G125" s="932">
        <v>0</v>
      </c>
      <c r="H125" s="932">
        <v>0</v>
      </c>
      <c r="I125" s="924">
        <v>0</v>
      </c>
      <c r="J125" s="924">
        <v>0</v>
      </c>
      <c r="K125" s="924">
        <v>0</v>
      </c>
    </row>
    <row r="126" spans="1:11" s="641" customFormat="1" x14ac:dyDescent="0.25">
      <c r="A126" s="94">
        <f t="shared" si="9"/>
        <v>86</v>
      </c>
      <c r="B126" s="608" t="s">
        <v>185</v>
      </c>
      <c r="C126" s="934" t="s">
        <v>1388</v>
      </c>
      <c r="D126" s="932">
        <v>0</v>
      </c>
      <c r="E126" s="924">
        <v>0</v>
      </c>
      <c r="F126" s="924">
        <v>0</v>
      </c>
      <c r="G126" s="932">
        <v>0</v>
      </c>
      <c r="H126" s="932">
        <v>0</v>
      </c>
      <c r="I126" s="924">
        <v>0</v>
      </c>
      <c r="J126" s="924">
        <v>0</v>
      </c>
      <c r="K126" s="924">
        <v>0</v>
      </c>
    </row>
    <row r="127" spans="1:11" s="641" customFormat="1" x14ac:dyDescent="0.25">
      <c r="A127" s="94">
        <f t="shared" si="9"/>
        <v>87</v>
      </c>
      <c r="B127" s="608" t="s">
        <v>1475</v>
      </c>
      <c r="C127" s="934" t="s">
        <v>1388</v>
      </c>
      <c r="D127" s="932">
        <v>0</v>
      </c>
      <c r="E127" s="924">
        <v>0</v>
      </c>
      <c r="F127" s="924">
        <v>0</v>
      </c>
      <c r="G127" s="932">
        <v>0</v>
      </c>
      <c r="H127" s="932">
        <v>0</v>
      </c>
      <c r="I127" s="924">
        <v>0</v>
      </c>
      <c r="J127" s="924">
        <v>0</v>
      </c>
      <c r="K127" s="924">
        <v>0</v>
      </c>
    </row>
    <row r="128" spans="1:11" s="641" customFormat="1" x14ac:dyDescent="0.25">
      <c r="A128" s="94">
        <f t="shared" si="9"/>
        <v>88</v>
      </c>
      <c r="B128" s="606" t="s">
        <v>187</v>
      </c>
      <c r="C128" s="934" t="s">
        <v>1388</v>
      </c>
      <c r="D128" s="932">
        <v>0</v>
      </c>
      <c r="E128" s="924">
        <v>0</v>
      </c>
      <c r="F128" s="924">
        <v>0</v>
      </c>
      <c r="G128" s="932">
        <v>0</v>
      </c>
      <c r="H128" s="932">
        <v>0</v>
      </c>
      <c r="I128" s="924">
        <v>0</v>
      </c>
      <c r="J128" s="924">
        <v>0</v>
      </c>
      <c r="K128" s="924">
        <v>0</v>
      </c>
    </row>
    <row r="129" spans="1:11" s="641" customFormat="1" x14ac:dyDescent="0.25">
      <c r="A129" s="94">
        <f t="shared" si="9"/>
        <v>89</v>
      </c>
      <c r="B129" s="608" t="s">
        <v>188</v>
      </c>
      <c r="C129" s="934" t="s">
        <v>1388</v>
      </c>
      <c r="D129" s="932">
        <v>0</v>
      </c>
      <c r="E129" s="924">
        <v>0</v>
      </c>
      <c r="F129" s="924">
        <v>0</v>
      </c>
      <c r="G129" s="932">
        <v>0</v>
      </c>
      <c r="H129" s="932">
        <v>0</v>
      </c>
      <c r="I129" s="924">
        <v>0</v>
      </c>
      <c r="J129" s="924">
        <v>0</v>
      </c>
      <c r="K129" s="924">
        <v>0</v>
      </c>
    </row>
    <row r="130" spans="1:11" s="641" customFormat="1" x14ac:dyDescent="0.25">
      <c r="A130" s="94">
        <f t="shared" si="9"/>
        <v>90</v>
      </c>
      <c r="B130" s="608" t="s">
        <v>189</v>
      </c>
      <c r="C130" s="934" t="s">
        <v>1388</v>
      </c>
      <c r="D130" s="932">
        <v>0</v>
      </c>
      <c r="E130" s="924">
        <v>0</v>
      </c>
      <c r="F130" s="924">
        <v>0</v>
      </c>
      <c r="G130" s="932">
        <v>0</v>
      </c>
      <c r="H130" s="932">
        <v>0</v>
      </c>
      <c r="I130" s="924">
        <v>0</v>
      </c>
      <c r="J130" s="924">
        <v>0</v>
      </c>
      <c r="K130" s="924">
        <v>0</v>
      </c>
    </row>
    <row r="131" spans="1:11" s="641" customFormat="1" x14ac:dyDescent="0.25">
      <c r="A131" s="94">
        <f t="shared" si="9"/>
        <v>91</v>
      </c>
      <c r="B131" s="606" t="s">
        <v>192</v>
      </c>
      <c r="C131" s="934" t="s">
        <v>1388</v>
      </c>
      <c r="D131" s="932">
        <v>0</v>
      </c>
      <c r="E131" s="924">
        <v>0</v>
      </c>
      <c r="F131" s="924">
        <v>0</v>
      </c>
      <c r="G131" s="932">
        <v>0</v>
      </c>
      <c r="H131" s="932">
        <v>0</v>
      </c>
      <c r="I131" s="924">
        <v>0</v>
      </c>
      <c r="J131" s="924">
        <v>0</v>
      </c>
      <c r="K131" s="924">
        <v>0</v>
      </c>
    </row>
    <row r="132" spans="1:11" s="641" customFormat="1" x14ac:dyDescent="0.25">
      <c r="A132" s="94">
        <f t="shared" si="9"/>
        <v>92</v>
      </c>
      <c r="B132" s="606" t="s">
        <v>191</v>
      </c>
      <c r="C132" s="934" t="s">
        <v>1388</v>
      </c>
      <c r="D132" s="932">
        <v>0</v>
      </c>
      <c r="E132" s="924">
        <v>0</v>
      </c>
      <c r="F132" s="924">
        <v>0</v>
      </c>
      <c r="G132" s="932">
        <v>0</v>
      </c>
      <c r="H132" s="932">
        <v>0</v>
      </c>
      <c r="I132" s="924">
        <v>0</v>
      </c>
      <c r="J132" s="924">
        <v>0</v>
      </c>
      <c r="K132" s="924">
        <v>0</v>
      </c>
    </row>
    <row r="133" spans="1:11" s="641" customFormat="1" x14ac:dyDescent="0.25">
      <c r="A133" s="94">
        <f t="shared" si="9"/>
        <v>93</v>
      </c>
      <c r="B133" s="606" t="s">
        <v>181</v>
      </c>
      <c r="C133" s="934" t="s">
        <v>1388</v>
      </c>
      <c r="D133" s="932">
        <v>0</v>
      </c>
      <c r="E133" s="924">
        <v>0</v>
      </c>
      <c r="F133" s="924">
        <v>0</v>
      </c>
      <c r="G133" s="932">
        <v>0</v>
      </c>
      <c r="H133" s="932">
        <v>0</v>
      </c>
      <c r="I133" s="924">
        <v>0</v>
      </c>
      <c r="J133" s="924">
        <v>0</v>
      </c>
      <c r="K133" s="924">
        <v>0</v>
      </c>
    </row>
    <row r="134" spans="1:11" s="641" customFormat="1" x14ac:dyDescent="0.25">
      <c r="A134" s="94">
        <f t="shared" si="9"/>
        <v>94</v>
      </c>
      <c r="B134" s="606" t="s">
        <v>182</v>
      </c>
      <c r="C134" s="934" t="s">
        <v>1388</v>
      </c>
      <c r="D134" s="932">
        <v>0</v>
      </c>
      <c r="E134" s="924">
        <v>0</v>
      </c>
      <c r="F134" s="924">
        <v>0</v>
      </c>
      <c r="G134" s="932">
        <v>0</v>
      </c>
      <c r="H134" s="932">
        <v>0</v>
      </c>
      <c r="I134" s="924">
        <v>0</v>
      </c>
      <c r="J134" s="924">
        <v>0</v>
      </c>
      <c r="K134" s="924">
        <v>0</v>
      </c>
    </row>
    <row r="135" spans="1:11" s="641" customFormat="1" x14ac:dyDescent="0.25">
      <c r="A135" s="94">
        <f t="shared" si="9"/>
        <v>95</v>
      </c>
      <c r="B135" s="608" t="s">
        <v>183</v>
      </c>
      <c r="C135" s="934" t="s">
        <v>1388</v>
      </c>
      <c r="D135" s="932">
        <v>0</v>
      </c>
      <c r="E135" s="924">
        <v>0</v>
      </c>
      <c r="F135" s="924">
        <v>0</v>
      </c>
      <c r="G135" s="932">
        <v>0</v>
      </c>
      <c r="H135" s="932">
        <v>0</v>
      </c>
      <c r="I135" s="924">
        <v>0</v>
      </c>
      <c r="J135" s="924">
        <v>0</v>
      </c>
      <c r="K135" s="924">
        <v>0</v>
      </c>
    </row>
    <row r="136" spans="1:11" s="641" customFormat="1" x14ac:dyDescent="0.25">
      <c r="A136" s="94">
        <f t="shared" si="9"/>
        <v>96</v>
      </c>
      <c r="B136" s="608" t="s">
        <v>196</v>
      </c>
      <c r="C136" s="934" t="s">
        <v>1388</v>
      </c>
      <c r="D136" s="932">
        <v>0</v>
      </c>
      <c r="E136" s="924">
        <v>0</v>
      </c>
      <c r="F136" s="924">
        <v>0</v>
      </c>
      <c r="G136" s="932">
        <v>0</v>
      </c>
      <c r="H136" s="932">
        <v>0</v>
      </c>
      <c r="I136" s="924">
        <v>0</v>
      </c>
      <c r="J136" s="924">
        <v>0</v>
      </c>
      <c r="K136" s="924">
        <v>0</v>
      </c>
    </row>
    <row r="137" spans="1:11" s="641" customFormat="1" x14ac:dyDescent="0.25">
      <c r="A137" s="94">
        <f t="shared" si="9"/>
        <v>97</v>
      </c>
      <c r="B137" s="606" t="s">
        <v>184</v>
      </c>
      <c r="C137" s="934" t="s">
        <v>1388</v>
      </c>
      <c r="D137" s="932">
        <v>0</v>
      </c>
      <c r="E137" s="924">
        <v>0</v>
      </c>
      <c r="F137" s="924">
        <v>0</v>
      </c>
      <c r="G137" s="932">
        <v>0</v>
      </c>
      <c r="H137" s="932">
        <v>0</v>
      </c>
      <c r="I137" s="924">
        <v>0</v>
      </c>
      <c r="J137" s="924">
        <v>0</v>
      </c>
      <c r="K137" s="924">
        <v>0</v>
      </c>
    </row>
    <row r="138" spans="1:11" s="641" customFormat="1" x14ac:dyDescent="0.25">
      <c r="A138" s="94">
        <f t="shared" si="9"/>
        <v>98</v>
      </c>
      <c r="B138" s="608" t="s">
        <v>185</v>
      </c>
      <c r="C138" s="934" t="s">
        <v>1388</v>
      </c>
      <c r="D138" s="932">
        <v>0</v>
      </c>
      <c r="E138" s="924">
        <v>0</v>
      </c>
      <c r="F138" s="924">
        <v>0</v>
      </c>
      <c r="G138" s="932">
        <v>0</v>
      </c>
      <c r="H138" s="932">
        <v>0</v>
      </c>
      <c r="I138" s="924">
        <v>0</v>
      </c>
      <c r="J138" s="924">
        <v>0</v>
      </c>
      <c r="K138" s="924">
        <v>0</v>
      </c>
    </row>
    <row r="139" spans="1:11" s="641" customFormat="1" x14ac:dyDescent="0.25">
      <c r="A139" s="94">
        <f t="shared" si="9"/>
        <v>99</v>
      </c>
      <c r="B139" s="608" t="s">
        <v>1475</v>
      </c>
      <c r="C139" s="934" t="s">
        <v>1388</v>
      </c>
      <c r="D139" s="932">
        <v>0</v>
      </c>
      <c r="E139" s="924">
        <v>0</v>
      </c>
      <c r="F139" s="924">
        <v>0</v>
      </c>
      <c r="G139" s="932">
        <v>0</v>
      </c>
      <c r="H139" s="932">
        <v>0</v>
      </c>
      <c r="I139" s="924">
        <v>0</v>
      </c>
      <c r="J139" s="924">
        <v>0</v>
      </c>
      <c r="K139" s="924">
        <v>0</v>
      </c>
    </row>
    <row r="140" spans="1:11" s="641" customFormat="1" x14ac:dyDescent="0.25">
      <c r="A140" s="94">
        <f t="shared" si="9"/>
        <v>100</v>
      </c>
      <c r="B140" s="606" t="s">
        <v>187</v>
      </c>
      <c r="C140" s="934" t="s">
        <v>1388</v>
      </c>
      <c r="D140" s="932">
        <v>0</v>
      </c>
      <c r="E140" s="924">
        <v>0</v>
      </c>
      <c r="F140" s="924">
        <v>0</v>
      </c>
      <c r="G140" s="932">
        <v>0</v>
      </c>
      <c r="H140" s="932">
        <v>0</v>
      </c>
      <c r="I140" s="924">
        <v>0</v>
      </c>
      <c r="J140" s="924">
        <v>0</v>
      </c>
      <c r="K140" s="924">
        <v>0</v>
      </c>
    </row>
    <row r="141" spans="1:11" s="641" customFormat="1" x14ac:dyDescent="0.25">
      <c r="A141" s="94">
        <f t="shared" si="9"/>
        <v>101</v>
      </c>
      <c r="B141" s="608" t="s">
        <v>188</v>
      </c>
      <c r="C141" s="934" t="s">
        <v>1388</v>
      </c>
      <c r="D141" s="932">
        <v>0</v>
      </c>
      <c r="E141" s="924">
        <v>0</v>
      </c>
      <c r="F141" s="924">
        <v>0</v>
      </c>
      <c r="G141" s="932">
        <v>0</v>
      </c>
      <c r="H141" s="932">
        <v>0</v>
      </c>
      <c r="I141" s="924">
        <v>0</v>
      </c>
      <c r="J141" s="924">
        <v>0</v>
      </c>
      <c r="K141" s="924">
        <v>0</v>
      </c>
    </row>
    <row r="142" spans="1:11" s="641" customFormat="1" x14ac:dyDescent="0.25">
      <c r="A142" s="94">
        <f t="shared" si="9"/>
        <v>102</v>
      </c>
      <c r="B142" s="608" t="s">
        <v>189</v>
      </c>
      <c r="C142" s="934" t="s">
        <v>1388</v>
      </c>
      <c r="D142" s="932">
        <v>0</v>
      </c>
      <c r="E142" s="924">
        <v>0</v>
      </c>
      <c r="F142" s="924">
        <v>0</v>
      </c>
      <c r="G142" s="932">
        <v>0</v>
      </c>
      <c r="H142" s="932">
        <v>0</v>
      </c>
      <c r="I142" s="924">
        <v>0</v>
      </c>
      <c r="J142" s="924">
        <v>0</v>
      </c>
      <c r="K142" s="924">
        <v>0</v>
      </c>
    </row>
    <row r="143" spans="1:11" s="641" customFormat="1" x14ac:dyDescent="0.25">
      <c r="A143" s="94">
        <f t="shared" si="9"/>
        <v>103</v>
      </c>
      <c r="B143" s="608" t="s">
        <v>192</v>
      </c>
      <c r="C143" s="934" t="s">
        <v>1388</v>
      </c>
      <c r="D143" s="932">
        <v>0</v>
      </c>
      <c r="E143" s="924">
        <v>0</v>
      </c>
      <c r="F143" s="924">
        <v>0</v>
      </c>
      <c r="G143" s="932">
        <v>0</v>
      </c>
      <c r="H143" s="932">
        <v>0</v>
      </c>
      <c r="I143" s="924">
        <v>0</v>
      </c>
      <c r="J143" s="924">
        <v>0</v>
      </c>
      <c r="K143" s="924">
        <v>0</v>
      </c>
    </row>
    <row r="144" spans="1:11" s="641" customFormat="1" x14ac:dyDescent="0.25">
      <c r="A144" s="94">
        <f t="shared" si="9"/>
        <v>104</v>
      </c>
      <c r="B144" s="608" t="s">
        <v>191</v>
      </c>
      <c r="C144" s="934" t="s">
        <v>1388</v>
      </c>
      <c r="D144" s="932">
        <v>0</v>
      </c>
      <c r="E144" s="924">
        <v>0</v>
      </c>
      <c r="F144" s="924">
        <v>0</v>
      </c>
      <c r="G144" s="932">
        <v>0</v>
      </c>
      <c r="H144" s="932">
        <v>0</v>
      </c>
      <c r="I144" s="924">
        <v>0</v>
      </c>
      <c r="J144" s="924">
        <v>0</v>
      </c>
      <c r="K144" s="924">
        <v>0</v>
      </c>
    </row>
    <row r="145" spans="1:11" s="641" customFormat="1" ht="15" x14ac:dyDescent="0.4">
      <c r="A145" s="94">
        <f t="shared" si="9"/>
        <v>105</v>
      </c>
      <c r="B145" s="608" t="s">
        <v>181</v>
      </c>
      <c r="C145" s="934" t="s">
        <v>1388</v>
      </c>
      <c r="D145" s="932">
        <v>0</v>
      </c>
      <c r="E145" s="924">
        <v>0</v>
      </c>
      <c r="F145" s="924">
        <v>0</v>
      </c>
      <c r="G145" s="932">
        <v>0</v>
      </c>
      <c r="H145" s="932">
        <v>0</v>
      </c>
      <c r="I145" s="924">
        <v>0</v>
      </c>
      <c r="J145" s="924">
        <v>0</v>
      </c>
      <c r="K145" s="925">
        <v>0</v>
      </c>
    </row>
    <row r="146" spans="1:11" s="641" customFormat="1" x14ac:dyDescent="0.25">
      <c r="A146" s="94">
        <f t="shared" si="9"/>
        <v>106</v>
      </c>
      <c r="B146"/>
      <c r="C146" s="640" t="s">
        <v>1626</v>
      </c>
      <c r="D146"/>
      <c r="E146"/>
      <c r="F146"/>
      <c r="G146"/>
      <c r="H146"/>
      <c r="I146"/>
      <c r="J146"/>
      <c r="K146" s="939">
        <v>0</v>
      </c>
    </row>
    <row r="147" spans="1:11" s="641" customFormat="1" x14ac:dyDescent="0.25">
      <c r="A147" s="94"/>
      <c r="B147"/>
      <c r="C147" s="640"/>
      <c r="D147"/>
      <c r="E147"/>
      <c r="F147"/>
      <c r="G147"/>
      <c r="H147"/>
      <c r="I147"/>
      <c r="J147"/>
      <c r="K147" s="66"/>
    </row>
    <row r="148" spans="1:11" s="641" customFormat="1" x14ac:dyDescent="0.25">
      <c r="B148" s="642" t="s">
        <v>1960</v>
      </c>
      <c r="D148" s="1175" t="s">
        <v>1969</v>
      </c>
      <c r="E148" s="1175"/>
    </row>
    <row r="149" spans="1:11" s="641" customFormat="1" x14ac:dyDescent="0.25">
      <c r="D149" s="643"/>
      <c r="E149" s="643"/>
      <c r="F149" s="643"/>
      <c r="G149" s="547" t="str">
        <f>G51</f>
        <v>Unloaded</v>
      </c>
      <c r="H149" s="643"/>
      <c r="I149" s="643"/>
    </row>
    <row r="150" spans="1:11" s="641" customFormat="1" x14ac:dyDescent="0.25">
      <c r="A150" s="638"/>
      <c r="B150" s="638"/>
      <c r="C150" s="638"/>
      <c r="D150" s="638" t="str">
        <f>D$52</f>
        <v>Forecast</v>
      </c>
      <c r="E150" s="638" t="str">
        <f t="shared" ref="E150:J150" si="10">E$52</f>
        <v>Corporate</v>
      </c>
      <c r="F150" s="638" t="str">
        <f t="shared" si="10"/>
        <v xml:space="preserve">Total </v>
      </c>
      <c r="G150" s="547" t="str">
        <f>G52</f>
        <v>Total</v>
      </c>
      <c r="H150" s="638" t="str">
        <f t="shared" si="10"/>
        <v>Prior Period</v>
      </c>
      <c r="I150" s="638" t="str">
        <f t="shared" si="10"/>
        <v>Over Heads</v>
      </c>
      <c r="J150" s="638" t="str">
        <f t="shared" si="10"/>
        <v>Forecast</v>
      </c>
      <c r="K150" s="547" t="str">
        <f>K$52</f>
        <v>Forecast Period</v>
      </c>
    </row>
    <row r="151" spans="1:11" s="641" customFormat="1" x14ac:dyDescent="0.25">
      <c r="A151" s="844" t="s">
        <v>332</v>
      </c>
      <c r="B151" s="605" t="s">
        <v>193</v>
      </c>
      <c r="C151" s="605" t="s">
        <v>194</v>
      </c>
      <c r="D151" s="636" t="str">
        <f>D$53</f>
        <v>Expenditures</v>
      </c>
      <c r="E151" s="636" t="str">
        <f t="shared" ref="E151:J151" si="11">E$53</f>
        <v>Overheads</v>
      </c>
      <c r="F151" s="636" t="str">
        <f t="shared" si="11"/>
        <v>CWIP Exp</v>
      </c>
      <c r="G151" s="3" t="str">
        <f>G53</f>
        <v>Plant Adds</v>
      </c>
      <c r="H151" s="636" t="str">
        <f t="shared" si="11"/>
        <v>CWIP Closed</v>
      </c>
      <c r="I151" s="636" t="str">
        <f t="shared" si="11"/>
        <v>Closed to PIS</v>
      </c>
      <c r="J151" s="636" t="str">
        <f t="shared" si="11"/>
        <v>Period CWIP</v>
      </c>
      <c r="K151" s="636" t="str">
        <f>K$53</f>
        <v>Incremental CWIP</v>
      </c>
    </row>
    <row r="152" spans="1:11" s="641" customFormat="1" x14ac:dyDescent="0.25">
      <c r="A152" s="94">
        <f>A146+1</f>
        <v>107</v>
      </c>
      <c r="B152" s="606" t="s">
        <v>181</v>
      </c>
      <c r="C152" s="934" t="s">
        <v>1388</v>
      </c>
      <c r="D152" s="645" t="s">
        <v>77</v>
      </c>
      <c r="E152" s="645" t="s">
        <v>77</v>
      </c>
      <c r="F152" s="645" t="s">
        <v>77</v>
      </c>
      <c r="G152" s="645" t="s">
        <v>77</v>
      </c>
      <c r="H152" s="645" t="s">
        <v>77</v>
      </c>
      <c r="I152" s="645" t="s">
        <v>77</v>
      </c>
      <c r="J152" s="56">
        <f>G25</f>
        <v>0</v>
      </c>
      <c r="K152" s="645" t="s">
        <v>77</v>
      </c>
    </row>
    <row r="153" spans="1:11" s="641" customFormat="1" x14ac:dyDescent="0.25">
      <c r="A153" s="94">
        <f>A152+1</f>
        <v>108</v>
      </c>
      <c r="B153" s="606" t="s">
        <v>182</v>
      </c>
      <c r="C153" s="934" t="s">
        <v>1388</v>
      </c>
      <c r="D153" s="932">
        <v>0</v>
      </c>
      <c r="E153" s="924">
        <v>0</v>
      </c>
      <c r="F153" s="924">
        <v>0</v>
      </c>
      <c r="G153" s="932">
        <v>0</v>
      </c>
      <c r="H153" s="932">
        <v>0</v>
      </c>
      <c r="I153" s="924">
        <v>0</v>
      </c>
      <c r="J153" s="924">
        <v>0</v>
      </c>
      <c r="K153" s="924">
        <v>0</v>
      </c>
    </row>
    <row r="154" spans="1:11" s="641" customFormat="1" x14ac:dyDescent="0.25">
      <c r="A154" s="94">
        <f t="shared" ref="A154:A177" si="12">A153+1</f>
        <v>109</v>
      </c>
      <c r="B154" s="608" t="s">
        <v>183</v>
      </c>
      <c r="C154" s="934" t="s">
        <v>1388</v>
      </c>
      <c r="D154" s="932">
        <v>0</v>
      </c>
      <c r="E154" s="924">
        <v>0</v>
      </c>
      <c r="F154" s="924">
        <v>0</v>
      </c>
      <c r="G154" s="932">
        <v>0</v>
      </c>
      <c r="H154" s="932">
        <v>0</v>
      </c>
      <c r="I154" s="924">
        <v>0</v>
      </c>
      <c r="J154" s="924">
        <v>0</v>
      </c>
      <c r="K154" s="924">
        <v>0</v>
      </c>
    </row>
    <row r="155" spans="1:11" s="641" customFormat="1" x14ac:dyDescent="0.25">
      <c r="A155" s="94">
        <f t="shared" si="12"/>
        <v>110</v>
      </c>
      <c r="B155" s="608" t="s">
        <v>196</v>
      </c>
      <c r="C155" s="934" t="s">
        <v>1388</v>
      </c>
      <c r="D155" s="932">
        <v>0</v>
      </c>
      <c r="E155" s="924">
        <v>0</v>
      </c>
      <c r="F155" s="924">
        <v>0</v>
      </c>
      <c r="G155" s="932">
        <v>0</v>
      </c>
      <c r="H155" s="932">
        <v>0</v>
      </c>
      <c r="I155" s="924">
        <v>0</v>
      </c>
      <c r="J155" s="924">
        <v>0</v>
      </c>
      <c r="K155" s="924">
        <v>0</v>
      </c>
    </row>
    <row r="156" spans="1:11" s="641" customFormat="1" x14ac:dyDescent="0.25">
      <c r="A156" s="94">
        <f t="shared" si="12"/>
        <v>111</v>
      </c>
      <c r="B156" s="606" t="s">
        <v>184</v>
      </c>
      <c r="C156" s="934" t="s">
        <v>1388</v>
      </c>
      <c r="D156" s="932">
        <v>0</v>
      </c>
      <c r="E156" s="924">
        <v>0</v>
      </c>
      <c r="F156" s="924">
        <v>0</v>
      </c>
      <c r="G156" s="932">
        <v>0</v>
      </c>
      <c r="H156" s="932">
        <v>0</v>
      </c>
      <c r="I156" s="924">
        <v>0</v>
      </c>
      <c r="J156" s="924">
        <v>0</v>
      </c>
      <c r="K156" s="924">
        <v>0</v>
      </c>
    </row>
    <row r="157" spans="1:11" s="641" customFormat="1" x14ac:dyDescent="0.25">
      <c r="A157" s="94">
        <f t="shared" si="12"/>
        <v>112</v>
      </c>
      <c r="B157" s="608" t="s">
        <v>185</v>
      </c>
      <c r="C157" s="934" t="s">
        <v>1388</v>
      </c>
      <c r="D157" s="932">
        <v>0</v>
      </c>
      <c r="E157" s="924">
        <v>0</v>
      </c>
      <c r="F157" s="924">
        <v>0</v>
      </c>
      <c r="G157" s="932">
        <v>0</v>
      </c>
      <c r="H157" s="932">
        <v>0</v>
      </c>
      <c r="I157" s="924">
        <v>0</v>
      </c>
      <c r="J157" s="924">
        <v>0</v>
      </c>
      <c r="K157" s="924">
        <v>0</v>
      </c>
    </row>
    <row r="158" spans="1:11" s="641" customFormat="1" x14ac:dyDescent="0.25">
      <c r="A158" s="94">
        <f t="shared" si="12"/>
        <v>113</v>
      </c>
      <c r="B158" s="608" t="s">
        <v>1475</v>
      </c>
      <c r="C158" s="934" t="s">
        <v>1388</v>
      </c>
      <c r="D158" s="932">
        <v>0</v>
      </c>
      <c r="E158" s="924">
        <v>0</v>
      </c>
      <c r="F158" s="924">
        <v>0</v>
      </c>
      <c r="G158" s="932">
        <v>0</v>
      </c>
      <c r="H158" s="932">
        <v>0</v>
      </c>
      <c r="I158" s="924">
        <v>0</v>
      </c>
      <c r="J158" s="924">
        <v>0</v>
      </c>
      <c r="K158" s="924">
        <v>0</v>
      </c>
    </row>
    <row r="159" spans="1:11" s="641" customFormat="1" x14ac:dyDescent="0.25">
      <c r="A159" s="94">
        <f t="shared" si="12"/>
        <v>114</v>
      </c>
      <c r="B159" s="606" t="s">
        <v>187</v>
      </c>
      <c r="C159" s="934" t="s">
        <v>1388</v>
      </c>
      <c r="D159" s="932">
        <v>0</v>
      </c>
      <c r="E159" s="924">
        <v>0</v>
      </c>
      <c r="F159" s="924">
        <v>0</v>
      </c>
      <c r="G159" s="932">
        <v>0</v>
      </c>
      <c r="H159" s="932">
        <v>0</v>
      </c>
      <c r="I159" s="924">
        <v>0</v>
      </c>
      <c r="J159" s="924">
        <v>0</v>
      </c>
      <c r="K159" s="924">
        <v>0</v>
      </c>
    </row>
    <row r="160" spans="1:11" s="641" customFormat="1" x14ac:dyDescent="0.25">
      <c r="A160" s="94">
        <f t="shared" si="12"/>
        <v>115</v>
      </c>
      <c r="B160" s="608" t="s">
        <v>188</v>
      </c>
      <c r="C160" s="934" t="s">
        <v>1388</v>
      </c>
      <c r="D160" s="932">
        <v>0</v>
      </c>
      <c r="E160" s="924">
        <v>0</v>
      </c>
      <c r="F160" s="924">
        <v>0</v>
      </c>
      <c r="G160" s="932">
        <v>0</v>
      </c>
      <c r="H160" s="932">
        <v>0</v>
      </c>
      <c r="I160" s="924">
        <v>0</v>
      </c>
      <c r="J160" s="924">
        <v>0</v>
      </c>
      <c r="K160" s="924">
        <v>0</v>
      </c>
    </row>
    <row r="161" spans="1:11" s="641" customFormat="1" x14ac:dyDescent="0.25">
      <c r="A161" s="94">
        <f t="shared" si="12"/>
        <v>116</v>
      </c>
      <c r="B161" s="608" t="s">
        <v>189</v>
      </c>
      <c r="C161" s="934" t="s">
        <v>1388</v>
      </c>
      <c r="D161" s="932">
        <v>0</v>
      </c>
      <c r="E161" s="924">
        <v>0</v>
      </c>
      <c r="F161" s="924">
        <v>0</v>
      </c>
      <c r="G161" s="932">
        <v>0</v>
      </c>
      <c r="H161" s="932">
        <v>0</v>
      </c>
      <c r="I161" s="924">
        <v>0</v>
      </c>
      <c r="J161" s="924">
        <v>0</v>
      </c>
      <c r="K161" s="924">
        <v>0</v>
      </c>
    </row>
    <row r="162" spans="1:11" s="641" customFormat="1" x14ac:dyDescent="0.25">
      <c r="A162" s="94">
        <f t="shared" si="12"/>
        <v>117</v>
      </c>
      <c r="B162" s="606" t="s">
        <v>192</v>
      </c>
      <c r="C162" s="934" t="s">
        <v>1388</v>
      </c>
      <c r="D162" s="932">
        <v>0</v>
      </c>
      <c r="E162" s="924">
        <v>0</v>
      </c>
      <c r="F162" s="924">
        <v>0</v>
      </c>
      <c r="G162" s="932">
        <v>0</v>
      </c>
      <c r="H162" s="932">
        <v>0</v>
      </c>
      <c r="I162" s="924">
        <v>0</v>
      </c>
      <c r="J162" s="924">
        <v>0</v>
      </c>
      <c r="K162" s="924">
        <v>0</v>
      </c>
    </row>
    <row r="163" spans="1:11" s="641" customFormat="1" x14ac:dyDescent="0.25">
      <c r="A163" s="94">
        <f t="shared" si="12"/>
        <v>118</v>
      </c>
      <c r="B163" s="606" t="s">
        <v>191</v>
      </c>
      <c r="C163" s="934" t="s">
        <v>1388</v>
      </c>
      <c r="D163" s="932">
        <v>0</v>
      </c>
      <c r="E163" s="924">
        <v>0</v>
      </c>
      <c r="F163" s="924">
        <v>0</v>
      </c>
      <c r="G163" s="932">
        <v>0</v>
      </c>
      <c r="H163" s="932">
        <v>0</v>
      </c>
      <c r="I163" s="924">
        <v>0</v>
      </c>
      <c r="J163" s="924">
        <v>0</v>
      </c>
      <c r="K163" s="924">
        <v>0</v>
      </c>
    </row>
    <row r="164" spans="1:11" s="641" customFormat="1" x14ac:dyDescent="0.25">
      <c r="A164" s="94">
        <f t="shared" si="12"/>
        <v>119</v>
      </c>
      <c r="B164" s="606" t="s">
        <v>181</v>
      </c>
      <c r="C164" s="934" t="s">
        <v>1388</v>
      </c>
      <c r="D164" s="932">
        <v>0</v>
      </c>
      <c r="E164" s="924">
        <v>0</v>
      </c>
      <c r="F164" s="924">
        <v>0</v>
      </c>
      <c r="G164" s="932">
        <v>0</v>
      </c>
      <c r="H164" s="932">
        <v>0</v>
      </c>
      <c r="I164" s="924">
        <v>0</v>
      </c>
      <c r="J164" s="924">
        <v>0</v>
      </c>
      <c r="K164" s="924">
        <v>0</v>
      </c>
    </row>
    <row r="165" spans="1:11" s="641" customFormat="1" x14ac:dyDescent="0.25">
      <c r="A165" s="94">
        <f t="shared" si="12"/>
        <v>120</v>
      </c>
      <c r="B165" s="606" t="s">
        <v>182</v>
      </c>
      <c r="C165" s="934" t="s">
        <v>1388</v>
      </c>
      <c r="D165" s="932">
        <v>0</v>
      </c>
      <c r="E165" s="924">
        <v>0</v>
      </c>
      <c r="F165" s="924">
        <v>0</v>
      </c>
      <c r="G165" s="932">
        <v>0</v>
      </c>
      <c r="H165" s="932">
        <v>0</v>
      </c>
      <c r="I165" s="924">
        <v>0</v>
      </c>
      <c r="J165" s="924">
        <v>0</v>
      </c>
      <c r="K165" s="924">
        <v>0</v>
      </c>
    </row>
    <row r="166" spans="1:11" s="641" customFormat="1" x14ac:dyDescent="0.25">
      <c r="A166" s="94">
        <f t="shared" si="12"/>
        <v>121</v>
      </c>
      <c r="B166" s="608" t="s">
        <v>183</v>
      </c>
      <c r="C166" s="934" t="s">
        <v>1388</v>
      </c>
      <c r="D166" s="932">
        <v>0</v>
      </c>
      <c r="E166" s="924">
        <v>0</v>
      </c>
      <c r="F166" s="924">
        <v>0</v>
      </c>
      <c r="G166" s="932">
        <v>0</v>
      </c>
      <c r="H166" s="932">
        <v>0</v>
      </c>
      <c r="I166" s="924">
        <v>0</v>
      </c>
      <c r="J166" s="924">
        <v>0</v>
      </c>
      <c r="K166" s="924">
        <v>0</v>
      </c>
    </row>
    <row r="167" spans="1:11" s="641" customFormat="1" x14ac:dyDescent="0.25">
      <c r="A167" s="94">
        <f t="shared" si="12"/>
        <v>122</v>
      </c>
      <c r="B167" s="608" t="s">
        <v>196</v>
      </c>
      <c r="C167" s="934" t="s">
        <v>1388</v>
      </c>
      <c r="D167" s="932">
        <v>0</v>
      </c>
      <c r="E167" s="924">
        <v>0</v>
      </c>
      <c r="F167" s="924">
        <v>0</v>
      </c>
      <c r="G167" s="932">
        <v>0</v>
      </c>
      <c r="H167" s="932">
        <v>0</v>
      </c>
      <c r="I167" s="924">
        <v>0</v>
      </c>
      <c r="J167" s="924">
        <v>0</v>
      </c>
      <c r="K167" s="924">
        <v>0</v>
      </c>
    </row>
    <row r="168" spans="1:11" s="641" customFormat="1" x14ac:dyDescent="0.25">
      <c r="A168" s="94">
        <f t="shared" si="12"/>
        <v>123</v>
      </c>
      <c r="B168" s="606" t="s">
        <v>184</v>
      </c>
      <c r="C168" s="934" t="s">
        <v>1388</v>
      </c>
      <c r="D168" s="932">
        <v>0</v>
      </c>
      <c r="E168" s="924">
        <v>0</v>
      </c>
      <c r="F168" s="924">
        <v>0</v>
      </c>
      <c r="G168" s="932">
        <v>0</v>
      </c>
      <c r="H168" s="932">
        <v>0</v>
      </c>
      <c r="I168" s="924">
        <v>0</v>
      </c>
      <c r="J168" s="924">
        <v>0</v>
      </c>
      <c r="K168" s="924">
        <v>0</v>
      </c>
    </row>
    <row r="169" spans="1:11" s="641" customFormat="1" x14ac:dyDescent="0.25">
      <c r="A169" s="94">
        <f t="shared" si="12"/>
        <v>124</v>
      </c>
      <c r="B169" s="608" t="s">
        <v>185</v>
      </c>
      <c r="C169" s="934" t="s">
        <v>1388</v>
      </c>
      <c r="D169" s="932">
        <v>0</v>
      </c>
      <c r="E169" s="924">
        <v>0</v>
      </c>
      <c r="F169" s="924">
        <v>0</v>
      </c>
      <c r="G169" s="932">
        <v>0</v>
      </c>
      <c r="H169" s="932">
        <v>0</v>
      </c>
      <c r="I169" s="924">
        <v>0</v>
      </c>
      <c r="J169" s="924">
        <v>0</v>
      </c>
      <c r="K169" s="924">
        <v>0</v>
      </c>
    </row>
    <row r="170" spans="1:11" s="641" customFormat="1" x14ac:dyDescent="0.25">
      <c r="A170" s="94">
        <f t="shared" si="12"/>
        <v>125</v>
      </c>
      <c r="B170" s="608" t="s">
        <v>1475</v>
      </c>
      <c r="C170" s="934" t="s">
        <v>1388</v>
      </c>
      <c r="D170" s="932">
        <v>0</v>
      </c>
      <c r="E170" s="924">
        <v>0</v>
      </c>
      <c r="F170" s="924">
        <v>0</v>
      </c>
      <c r="G170" s="932">
        <v>0</v>
      </c>
      <c r="H170" s="932">
        <v>0</v>
      </c>
      <c r="I170" s="924">
        <v>0</v>
      </c>
      <c r="J170" s="924">
        <v>0</v>
      </c>
      <c r="K170" s="924">
        <v>0</v>
      </c>
    </row>
    <row r="171" spans="1:11" s="641" customFormat="1" x14ac:dyDescent="0.25">
      <c r="A171" s="94">
        <f t="shared" si="12"/>
        <v>126</v>
      </c>
      <c r="B171" s="606" t="s">
        <v>187</v>
      </c>
      <c r="C171" s="934" t="s">
        <v>1388</v>
      </c>
      <c r="D171" s="932">
        <v>0</v>
      </c>
      <c r="E171" s="924">
        <v>0</v>
      </c>
      <c r="F171" s="924">
        <v>0</v>
      </c>
      <c r="G171" s="932">
        <v>0</v>
      </c>
      <c r="H171" s="932">
        <v>0</v>
      </c>
      <c r="I171" s="924">
        <v>0</v>
      </c>
      <c r="J171" s="924">
        <v>0</v>
      </c>
      <c r="K171" s="924">
        <v>0</v>
      </c>
    </row>
    <row r="172" spans="1:11" s="641" customFormat="1" x14ac:dyDescent="0.25">
      <c r="A172" s="94">
        <f t="shared" si="12"/>
        <v>127</v>
      </c>
      <c r="B172" s="608" t="s">
        <v>188</v>
      </c>
      <c r="C172" s="934" t="s">
        <v>1388</v>
      </c>
      <c r="D172" s="932">
        <v>0</v>
      </c>
      <c r="E172" s="924">
        <v>0</v>
      </c>
      <c r="F172" s="924">
        <v>0</v>
      </c>
      <c r="G172" s="932">
        <v>0</v>
      </c>
      <c r="H172" s="932">
        <v>0</v>
      </c>
      <c r="I172" s="924">
        <v>0</v>
      </c>
      <c r="J172" s="924">
        <v>0</v>
      </c>
      <c r="K172" s="924">
        <v>0</v>
      </c>
    </row>
    <row r="173" spans="1:11" s="641" customFormat="1" x14ac:dyDescent="0.25">
      <c r="A173" s="94">
        <f t="shared" si="12"/>
        <v>128</v>
      </c>
      <c r="B173" s="608" t="s">
        <v>189</v>
      </c>
      <c r="C173" s="934" t="s">
        <v>1388</v>
      </c>
      <c r="D173" s="932">
        <v>0</v>
      </c>
      <c r="E173" s="924">
        <v>0</v>
      </c>
      <c r="F173" s="924">
        <v>0</v>
      </c>
      <c r="G173" s="932">
        <v>0</v>
      </c>
      <c r="H173" s="932">
        <v>0</v>
      </c>
      <c r="I173" s="924">
        <v>0</v>
      </c>
      <c r="J173" s="924">
        <v>0</v>
      </c>
      <c r="K173" s="924">
        <v>0</v>
      </c>
    </row>
    <row r="174" spans="1:11" s="641" customFormat="1" x14ac:dyDescent="0.25">
      <c r="A174" s="94">
        <f t="shared" si="12"/>
        <v>129</v>
      </c>
      <c r="B174" s="608" t="s">
        <v>192</v>
      </c>
      <c r="C174" s="934" t="s">
        <v>1388</v>
      </c>
      <c r="D174" s="932">
        <v>0</v>
      </c>
      <c r="E174" s="924">
        <v>0</v>
      </c>
      <c r="F174" s="924">
        <v>0</v>
      </c>
      <c r="G174" s="932">
        <v>0</v>
      </c>
      <c r="H174" s="932">
        <v>0</v>
      </c>
      <c r="I174" s="924">
        <v>0</v>
      </c>
      <c r="J174" s="924">
        <v>0</v>
      </c>
      <c r="K174" s="924">
        <v>0</v>
      </c>
    </row>
    <row r="175" spans="1:11" s="641" customFormat="1" x14ac:dyDescent="0.25">
      <c r="A175" s="94">
        <f t="shared" si="12"/>
        <v>130</v>
      </c>
      <c r="B175" s="608" t="s">
        <v>191</v>
      </c>
      <c r="C175" s="934" t="s">
        <v>1388</v>
      </c>
      <c r="D175" s="932">
        <v>0</v>
      </c>
      <c r="E175" s="924">
        <v>0</v>
      </c>
      <c r="F175" s="924">
        <v>0</v>
      </c>
      <c r="G175" s="932">
        <v>0</v>
      </c>
      <c r="H175" s="932">
        <v>0</v>
      </c>
      <c r="I175" s="924">
        <v>0</v>
      </c>
      <c r="J175" s="924">
        <v>0</v>
      </c>
      <c r="K175" s="924">
        <v>0</v>
      </c>
    </row>
    <row r="176" spans="1:11" s="641" customFormat="1" ht="15" x14ac:dyDescent="0.4">
      <c r="A176" s="94">
        <f t="shared" si="12"/>
        <v>131</v>
      </c>
      <c r="B176" s="608" t="s">
        <v>181</v>
      </c>
      <c r="C176" s="934" t="s">
        <v>1388</v>
      </c>
      <c r="D176" s="932">
        <v>0</v>
      </c>
      <c r="E176" s="924">
        <v>0</v>
      </c>
      <c r="F176" s="924">
        <v>0</v>
      </c>
      <c r="G176" s="932">
        <v>0</v>
      </c>
      <c r="H176" s="932">
        <v>0</v>
      </c>
      <c r="I176" s="924">
        <v>0</v>
      </c>
      <c r="J176" s="924">
        <v>0</v>
      </c>
      <c r="K176" s="925">
        <v>0</v>
      </c>
    </row>
    <row r="177" spans="1:11" s="641" customFormat="1" x14ac:dyDescent="0.25">
      <c r="A177" s="94">
        <f t="shared" si="12"/>
        <v>132</v>
      </c>
      <c r="B177"/>
      <c r="C177" s="640" t="s">
        <v>1626</v>
      </c>
      <c r="D177"/>
      <c r="E177"/>
      <c r="F177"/>
      <c r="G177"/>
      <c r="H177"/>
      <c r="I177"/>
      <c r="J177"/>
      <c r="K177" s="939">
        <v>0</v>
      </c>
    </row>
    <row r="178" spans="1:11" s="641" customFormat="1" x14ac:dyDescent="0.25">
      <c r="A178" s="94"/>
      <c r="B178"/>
      <c r="C178" s="640"/>
      <c r="D178"/>
      <c r="E178"/>
      <c r="F178"/>
      <c r="G178"/>
      <c r="H178"/>
      <c r="I178"/>
      <c r="J178"/>
      <c r="K178" s="66"/>
    </row>
    <row r="179" spans="1:11" s="641" customFormat="1" x14ac:dyDescent="0.25">
      <c r="B179" s="642" t="s">
        <v>1961</v>
      </c>
      <c r="D179" s="1175" t="s">
        <v>1971</v>
      </c>
      <c r="E179" s="1175"/>
    </row>
    <row r="180" spans="1:11" s="641" customFormat="1" x14ac:dyDescent="0.25">
      <c r="A180" s="636"/>
      <c r="B180" s="636"/>
      <c r="C180" s="636"/>
      <c r="D180" s="636" t="s">
        <v>363</v>
      </c>
      <c r="E180" s="636" t="s">
        <v>347</v>
      </c>
      <c r="F180" s="636" t="s">
        <v>348</v>
      </c>
      <c r="G180" s="636" t="s">
        <v>349</v>
      </c>
      <c r="H180" s="636" t="s">
        <v>350</v>
      </c>
      <c r="I180" s="636" t="s">
        <v>351</v>
      </c>
      <c r="J180" s="636" t="s">
        <v>352</v>
      </c>
      <c r="K180" s="636" t="s">
        <v>541</v>
      </c>
    </row>
    <row r="181" spans="1:11" s="641" customFormat="1" ht="26.4" x14ac:dyDescent="0.25">
      <c r="D181" s="643"/>
      <c r="E181" s="644" t="s">
        <v>2094</v>
      </c>
      <c r="F181" s="645" t="s">
        <v>1955</v>
      </c>
      <c r="G181" s="452"/>
      <c r="H181" s="643"/>
      <c r="I181" s="644" t="s">
        <v>2095</v>
      </c>
      <c r="J181" s="644" t="s">
        <v>1956</v>
      </c>
      <c r="K181" s="644" t="s">
        <v>1957</v>
      </c>
    </row>
    <row r="182" spans="1:11" s="641" customFormat="1" x14ac:dyDescent="0.25">
      <c r="D182" s="643"/>
      <c r="E182" s="644"/>
      <c r="F182" s="645"/>
      <c r="G182" s="4" t="str">
        <f>G51</f>
        <v>Unloaded</v>
      </c>
      <c r="H182" s="643"/>
      <c r="I182" s="644"/>
      <c r="J182" s="644"/>
      <c r="K182" s="644"/>
    </row>
    <row r="183" spans="1:11" s="641" customFormat="1" x14ac:dyDescent="0.25">
      <c r="A183" s="638"/>
      <c r="B183" s="638"/>
      <c r="C183" s="638"/>
      <c r="D183" s="638" t="str">
        <f>D$52</f>
        <v>Forecast</v>
      </c>
      <c r="E183" s="638" t="str">
        <f t="shared" ref="E183:J183" si="13">E$52</f>
        <v>Corporate</v>
      </c>
      <c r="F183" s="638" t="str">
        <f t="shared" si="13"/>
        <v xml:space="preserve">Total </v>
      </c>
      <c r="G183" s="4" t="str">
        <f>G52</f>
        <v>Total</v>
      </c>
      <c r="H183" s="638" t="str">
        <f t="shared" si="13"/>
        <v>Prior Period</v>
      </c>
      <c r="I183" s="638" t="str">
        <f t="shared" si="13"/>
        <v>Over Heads</v>
      </c>
      <c r="J183" s="638" t="str">
        <f t="shared" si="13"/>
        <v>Forecast</v>
      </c>
      <c r="K183" s="547" t="str">
        <f>K$52</f>
        <v>Forecast Period</v>
      </c>
    </row>
    <row r="184" spans="1:11" s="641" customFormat="1" x14ac:dyDescent="0.25">
      <c r="A184" s="844" t="s">
        <v>332</v>
      </c>
      <c r="B184" s="605" t="s">
        <v>193</v>
      </c>
      <c r="C184" s="605" t="s">
        <v>194</v>
      </c>
      <c r="D184" s="636" t="str">
        <f>D$53</f>
        <v>Expenditures</v>
      </c>
      <c r="E184" s="636" t="str">
        <f t="shared" ref="E184:J184" si="14">E$53</f>
        <v>Overheads</v>
      </c>
      <c r="F184" s="636" t="str">
        <f t="shared" si="14"/>
        <v>CWIP Exp</v>
      </c>
      <c r="G184" s="76" t="str">
        <f>G53</f>
        <v>Plant Adds</v>
      </c>
      <c r="H184" s="636" t="str">
        <f t="shared" si="14"/>
        <v>CWIP Closed</v>
      </c>
      <c r="I184" s="636" t="str">
        <f t="shared" si="14"/>
        <v>Closed to PIS</v>
      </c>
      <c r="J184" s="636" t="str">
        <f t="shared" si="14"/>
        <v>Period CWIP</v>
      </c>
      <c r="K184" s="636" t="str">
        <f>K$53</f>
        <v>Incremental CWIP</v>
      </c>
    </row>
    <row r="185" spans="1:11" s="641" customFormat="1" x14ac:dyDescent="0.25">
      <c r="A185" s="94">
        <f>A177+1</f>
        <v>133</v>
      </c>
      <c r="B185" s="606" t="s">
        <v>181</v>
      </c>
      <c r="C185" s="934" t="s">
        <v>1388</v>
      </c>
      <c r="D185" s="645" t="s">
        <v>77</v>
      </c>
      <c r="E185" s="645" t="s">
        <v>77</v>
      </c>
      <c r="F185" s="645" t="s">
        <v>77</v>
      </c>
      <c r="G185" s="645" t="s">
        <v>77</v>
      </c>
      <c r="H185" s="645" t="s">
        <v>77</v>
      </c>
      <c r="I185" s="645" t="s">
        <v>77</v>
      </c>
      <c r="J185" s="56">
        <f>H25</f>
        <v>0</v>
      </c>
      <c r="K185" s="645" t="s">
        <v>77</v>
      </c>
    </row>
    <row r="186" spans="1:11" s="641" customFormat="1" x14ac:dyDescent="0.25">
      <c r="A186" s="94">
        <f>A185+1</f>
        <v>134</v>
      </c>
      <c r="B186" s="606" t="s">
        <v>182</v>
      </c>
      <c r="C186" s="934" t="s">
        <v>1388</v>
      </c>
      <c r="D186" s="932">
        <v>0</v>
      </c>
      <c r="E186" s="924">
        <v>0</v>
      </c>
      <c r="F186" s="924">
        <v>0</v>
      </c>
      <c r="G186" s="932">
        <v>0</v>
      </c>
      <c r="H186" s="932">
        <v>0</v>
      </c>
      <c r="I186" s="924">
        <v>0</v>
      </c>
      <c r="J186" s="924">
        <v>0</v>
      </c>
      <c r="K186" s="924">
        <v>0</v>
      </c>
    </row>
    <row r="187" spans="1:11" s="641" customFormat="1" x14ac:dyDescent="0.25">
      <c r="A187" s="94">
        <f t="shared" ref="A187:A210" si="15">A186+1</f>
        <v>135</v>
      </c>
      <c r="B187" s="608" t="s">
        <v>183</v>
      </c>
      <c r="C187" s="934" t="s">
        <v>1388</v>
      </c>
      <c r="D187" s="932">
        <v>0</v>
      </c>
      <c r="E187" s="924">
        <v>0</v>
      </c>
      <c r="F187" s="924">
        <v>0</v>
      </c>
      <c r="G187" s="932">
        <v>0</v>
      </c>
      <c r="H187" s="932">
        <v>0</v>
      </c>
      <c r="I187" s="924">
        <v>0</v>
      </c>
      <c r="J187" s="924">
        <v>0</v>
      </c>
      <c r="K187" s="924">
        <v>0</v>
      </c>
    </row>
    <row r="188" spans="1:11" s="641" customFormat="1" x14ac:dyDescent="0.25">
      <c r="A188" s="94">
        <f t="shared" si="15"/>
        <v>136</v>
      </c>
      <c r="B188" s="608" t="s">
        <v>196</v>
      </c>
      <c r="C188" s="934" t="s">
        <v>1388</v>
      </c>
      <c r="D188" s="932">
        <v>0</v>
      </c>
      <c r="E188" s="924">
        <v>0</v>
      </c>
      <c r="F188" s="924">
        <v>0</v>
      </c>
      <c r="G188" s="932">
        <v>0</v>
      </c>
      <c r="H188" s="932">
        <v>0</v>
      </c>
      <c r="I188" s="924">
        <v>0</v>
      </c>
      <c r="J188" s="924">
        <v>0</v>
      </c>
      <c r="K188" s="924">
        <v>0</v>
      </c>
    </row>
    <row r="189" spans="1:11" s="641" customFormat="1" x14ac:dyDescent="0.25">
      <c r="A189" s="94">
        <f t="shared" si="15"/>
        <v>137</v>
      </c>
      <c r="B189" s="606" t="s">
        <v>184</v>
      </c>
      <c r="C189" s="934" t="s">
        <v>1388</v>
      </c>
      <c r="D189" s="932">
        <v>0</v>
      </c>
      <c r="E189" s="924">
        <v>0</v>
      </c>
      <c r="F189" s="924">
        <v>0</v>
      </c>
      <c r="G189" s="932">
        <v>0</v>
      </c>
      <c r="H189" s="932">
        <v>0</v>
      </c>
      <c r="I189" s="924">
        <v>0</v>
      </c>
      <c r="J189" s="924">
        <v>0</v>
      </c>
      <c r="K189" s="924">
        <v>0</v>
      </c>
    </row>
    <row r="190" spans="1:11" s="641" customFormat="1" x14ac:dyDescent="0.25">
      <c r="A190" s="94">
        <f t="shared" si="15"/>
        <v>138</v>
      </c>
      <c r="B190" s="608" t="s">
        <v>185</v>
      </c>
      <c r="C190" s="934" t="s">
        <v>1388</v>
      </c>
      <c r="D190" s="932">
        <v>0</v>
      </c>
      <c r="E190" s="924">
        <v>0</v>
      </c>
      <c r="F190" s="924">
        <v>0</v>
      </c>
      <c r="G190" s="932">
        <v>0</v>
      </c>
      <c r="H190" s="932">
        <v>0</v>
      </c>
      <c r="I190" s="924">
        <v>0</v>
      </c>
      <c r="J190" s="924">
        <v>0</v>
      </c>
      <c r="K190" s="924">
        <v>0</v>
      </c>
    </row>
    <row r="191" spans="1:11" s="641" customFormat="1" x14ac:dyDescent="0.25">
      <c r="A191" s="94">
        <f t="shared" si="15"/>
        <v>139</v>
      </c>
      <c r="B191" s="608" t="s">
        <v>1475</v>
      </c>
      <c r="C191" s="934" t="s">
        <v>1388</v>
      </c>
      <c r="D191" s="932">
        <v>0</v>
      </c>
      <c r="E191" s="924">
        <v>0</v>
      </c>
      <c r="F191" s="924">
        <v>0</v>
      </c>
      <c r="G191" s="932">
        <v>0</v>
      </c>
      <c r="H191" s="932">
        <v>0</v>
      </c>
      <c r="I191" s="924">
        <v>0</v>
      </c>
      <c r="J191" s="924">
        <v>0</v>
      </c>
      <c r="K191" s="924">
        <v>0</v>
      </c>
    </row>
    <row r="192" spans="1:11" s="641" customFormat="1" x14ac:dyDescent="0.25">
      <c r="A192" s="94">
        <f t="shared" si="15"/>
        <v>140</v>
      </c>
      <c r="B192" s="606" t="s">
        <v>187</v>
      </c>
      <c r="C192" s="934" t="s">
        <v>1388</v>
      </c>
      <c r="D192" s="932">
        <v>0</v>
      </c>
      <c r="E192" s="924">
        <v>0</v>
      </c>
      <c r="F192" s="924">
        <v>0</v>
      </c>
      <c r="G192" s="932">
        <v>0</v>
      </c>
      <c r="H192" s="932">
        <v>0</v>
      </c>
      <c r="I192" s="924">
        <v>0</v>
      </c>
      <c r="J192" s="924">
        <v>0</v>
      </c>
      <c r="K192" s="924">
        <v>0</v>
      </c>
    </row>
    <row r="193" spans="1:11" s="641" customFormat="1" x14ac:dyDescent="0.25">
      <c r="A193" s="94">
        <f t="shared" si="15"/>
        <v>141</v>
      </c>
      <c r="B193" s="608" t="s">
        <v>188</v>
      </c>
      <c r="C193" s="934" t="s">
        <v>1388</v>
      </c>
      <c r="D193" s="932">
        <v>0</v>
      </c>
      <c r="E193" s="924">
        <v>0</v>
      </c>
      <c r="F193" s="924">
        <v>0</v>
      </c>
      <c r="G193" s="932">
        <v>0</v>
      </c>
      <c r="H193" s="932">
        <v>0</v>
      </c>
      <c r="I193" s="924">
        <v>0</v>
      </c>
      <c r="J193" s="924">
        <v>0</v>
      </c>
      <c r="K193" s="924">
        <v>0</v>
      </c>
    </row>
    <row r="194" spans="1:11" s="641" customFormat="1" x14ac:dyDescent="0.25">
      <c r="A194" s="94">
        <f t="shared" si="15"/>
        <v>142</v>
      </c>
      <c r="B194" s="608" t="s">
        <v>189</v>
      </c>
      <c r="C194" s="934" t="s">
        <v>1388</v>
      </c>
      <c r="D194" s="932">
        <v>0</v>
      </c>
      <c r="E194" s="924">
        <v>0</v>
      </c>
      <c r="F194" s="924">
        <v>0</v>
      </c>
      <c r="G194" s="932">
        <v>0</v>
      </c>
      <c r="H194" s="932">
        <v>0</v>
      </c>
      <c r="I194" s="924">
        <v>0</v>
      </c>
      <c r="J194" s="924">
        <v>0</v>
      </c>
      <c r="K194" s="924">
        <v>0</v>
      </c>
    </row>
    <row r="195" spans="1:11" s="641" customFormat="1" x14ac:dyDescent="0.25">
      <c r="A195" s="94">
        <f t="shared" si="15"/>
        <v>143</v>
      </c>
      <c r="B195" s="606" t="s">
        <v>192</v>
      </c>
      <c r="C195" s="934" t="s">
        <v>1388</v>
      </c>
      <c r="D195" s="932">
        <v>0</v>
      </c>
      <c r="E195" s="924">
        <v>0</v>
      </c>
      <c r="F195" s="924">
        <v>0</v>
      </c>
      <c r="G195" s="932">
        <v>0</v>
      </c>
      <c r="H195" s="932">
        <v>0</v>
      </c>
      <c r="I195" s="924">
        <v>0</v>
      </c>
      <c r="J195" s="924">
        <v>0</v>
      </c>
      <c r="K195" s="924">
        <v>0</v>
      </c>
    </row>
    <row r="196" spans="1:11" s="641" customFormat="1" x14ac:dyDescent="0.25">
      <c r="A196" s="94">
        <f t="shared" si="15"/>
        <v>144</v>
      </c>
      <c r="B196" s="606" t="s">
        <v>191</v>
      </c>
      <c r="C196" s="934" t="s">
        <v>1388</v>
      </c>
      <c r="D196" s="932">
        <v>0</v>
      </c>
      <c r="E196" s="924">
        <v>0</v>
      </c>
      <c r="F196" s="924">
        <v>0</v>
      </c>
      <c r="G196" s="932">
        <v>0</v>
      </c>
      <c r="H196" s="932">
        <v>0</v>
      </c>
      <c r="I196" s="924">
        <v>0</v>
      </c>
      <c r="J196" s="924">
        <v>0</v>
      </c>
      <c r="K196" s="924">
        <v>0</v>
      </c>
    </row>
    <row r="197" spans="1:11" s="641" customFormat="1" x14ac:dyDescent="0.25">
      <c r="A197" s="94">
        <f t="shared" si="15"/>
        <v>145</v>
      </c>
      <c r="B197" s="606" t="s">
        <v>181</v>
      </c>
      <c r="C197" s="934" t="s">
        <v>1388</v>
      </c>
      <c r="D197" s="932">
        <v>0</v>
      </c>
      <c r="E197" s="924">
        <v>0</v>
      </c>
      <c r="F197" s="924">
        <v>0</v>
      </c>
      <c r="G197" s="932">
        <v>0</v>
      </c>
      <c r="H197" s="932">
        <v>0</v>
      </c>
      <c r="I197" s="924">
        <v>0</v>
      </c>
      <c r="J197" s="924">
        <v>0</v>
      </c>
      <c r="K197" s="924">
        <v>0</v>
      </c>
    </row>
    <row r="198" spans="1:11" s="641" customFormat="1" x14ac:dyDescent="0.25">
      <c r="A198" s="94">
        <f t="shared" si="15"/>
        <v>146</v>
      </c>
      <c r="B198" s="606" t="s">
        <v>182</v>
      </c>
      <c r="C198" s="934" t="s">
        <v>1388</v>
      </c>
      <c r="D198" s="932">
        <v>0</v>
      </c>
      <c r="E198" s="924">
        <v>0</v>
      </c>
      <c r="F198" s="924">
        <v>0</v>
      </c>
      <c r="G198" s="932">
        <v>0</v>
      </c>
      <c r="H198" s="932">
        <v>0</v>
      </c>
      <c r="I198" s="924">
        <v>0</v>
      </c>
      <c r="J198" s="924">
        <v>0</v>
      </c>
      <c r="K198" s="924">
        <v>0</v>
      </c>
    </row>
    <row r="199" spans="1:11" s="641" customFormat="1" x14ac:dyDescent="0.25">
      <c r="A199" s="94">
        <f t="shared" si="15"/>
        <v>147</v>
      </c>
      <c r="B199" s="608" t="s">
        <v>183</v>
      </c>
      <c r="C199" s="934" t="s">
        <v>1388</v>
      </c>
      <c r="D199" s="932">
        <v>0</v>
      </c>
      <c r="E199" s="924">
        <v>0</v>
      </c>
      <c r="F199" s="924">
        <v>0</v>
      </c>
      <c r="G199" s="932">
        <v>0</v>
      </c>
      <c r="H199" s="932">
        <v>0</v>
      </c>
      <c r="I199" s="924">
        <v>0</v>
      </c>
      <c r="J199" s="924">
        <v>0</v>
      </c>
      <c r="K199" s="924">
        <v>0</v>
      </c>
    </row>
    <row r="200" spans="1:11" s="641" customFormat="1" x14ac:dyDescent="0.25">
      <c r="A200" s="94">
        <f t="shared" si="15"/>
        <v>148</v>
      </c>
      <c r="B200" s="608" t="s">
        <v>196</v>
      </c>
      <c r="C200" s="934" t="s">
        <v>1388</v>
      </c>
      <c r="D200" s="932">
        <v>0</v>
      </c>
      <c r="E200" s="924">
        <v>0</v>
      </c>
      <c r="F200" s="924">
        <v>0</v>
      </c>
      <c r="G200" s="932">
        <v>0</v>
      </c>
      <c r="H200" s="932">
        <v>0</v>
      </c>
      <c r="I200" s="924">
        <v>0</v>
      </c>
      <c r="J200" s="924">
        <v>0</v>
      </c>
      <c r="K200" s="924">
        <v>0</v>
      </c>
    </row>
    <row r="201" spans="1:11" s="641" customFormat="1" x14ac:dyDescent="0.25">
      <c r="A201" s="94">
        <f t="shared" si="15"/>
        <v>149</v>
      </c>
      <c r="B201" s="606" t="s">
        <v>184</v>
      </c>
      <c r="C201" s="934" t="s">
        <v>1388</v>
      </c>
      <c r="D201" s="932">
        <v>0</v>
      </c>
      <c r="E201" s="924">
        <v>0</v>
      </c>
      <c r="F201" s="924">
        <v>0</v>
      </c>
      <c r="G201" s="932">
        <v>0</v>
      </c>
      <c r="H201" s="932">
        <v>0</v>
      </c>
      <c r="I201" s="924">
        <v>0</v>
      </c>
      <c r="J201" s="924">
        <v>0</v>
      </c>
      <c r="K201" s="924">
        <v>0</v>
      </c>
    </row>
    <row r="202" spans="1:11" s="641" customFormat="1" x14ac:dyDescent="0.25">
      <c r="A202" s="94">
        <f t="shared" si="15"/>
        <v>150</v>
      </c>
      <c r="B202" s="608" t="s">
        <v>185</v>
      </c>
      <c r="C202" s="934" t="s">
        <v>1388</v>
      </c>
      <c r="D202" s="932">
        <v>0</v>
      </c>
      <c r="E202" s="924">
        <v>0</v>
      </c>
      <c r="F202" s="924">
        <v>0</v>
      </c>
      <c r="G202" s="932">
        <v>0</v>
      </c>
      <c r="H202" s="932">
        <v>0</v>
      </c>
      <c r="I202" s="924">
        <v>0</v>
      </c>
      <c r="J202" s="924">
        <v>0</v>
      </c>
      <c r="K202" s="924">
        <v>0</v>
      </c>
    </row>
    <row r="203" spans="1:11" s="641" customFormat="1" x14ac:dyDescent="0.25">
      <c r="A203" s="94">
        <f t="shared" si="15"/>
        <v>151</v>
      </c>
      <c r="B203" s="608" t="s">
        <v>1475</v>
      </c>
      <c r="C203" s="934" t="s">
        <v>1388</v>
      </c>
      <c r="D203" s="932">
        <v>0</v>
      </c>
      <c r="E203" s="924">
        <v>0</v>
      </c>
      <c r="F203" s="924">
        <v>0</v>
      </c>
      <c r="G203" s="932">
        <v>0</v>
      </c>
      <c r="H203" s="932">
        <v>0</v>
      </c>
      <c r="I203" s="924">
        <v>0</v>
      </c>
      <c r="J203" s="924">
        <v>0</v>
      </c>
      <c r="K203" s="924">
        <v>0</v>
      </c>
    </row>
    <row r="204" spans="1:11" s="641" customFormat="1" x14ac:dyDescent="0.25">
      <c r="A204" s="94">
        <f t="shared" si="15"/>
        <v>152</v>
      </c>
      <c r="B204" s="606" t="s">
        <v>187</v>
      </c>
      <c r="C204" s="934" t="s">
        <v>1388</v>
      </c>
      <c r="D204" s="932">
        <v>0</v>
      </c>
      <c r="E204" s="924">
        <v>0</v>
      </c>
      <c r="F204" s="924">
        <v>0</v>
      </c>
      <c r="G204" s="932">
        <v>0</v>
      </c>
      <c r="H204" s="932">
        <v>0</v>
      </c>
      <c r="I204" s="924">
        <v>0</v>
      </c>
      <c r="J204" s="924">
        <v>0</v>
      </c>
      <c r="K204" s="924">
        <v>0</v>
      </c>
    </row>
    <row r="205" spans="1:11" s="641" customFormat="1" x14ac:dyDescent="0.25">
      <c r="A205" s="94">
        <f t="shared" si="15"/>
        <v>153</v>
      </c>
      <c r="B205" s="608" t="s">
        <v>188</v>
      </c>
      <c r="C205" s="934" t="s">
        <v>1388</v>
      </c>
      <c r="D205" s="932">
        <v>0</v>
      </c>
      <c r="E205" s="924">
        <v>0</v>
      </c>
      <c r="F205" s="924">
        <v>0</v>
      </c>
      <c r="G205" s="932">
        <v>0</v>
      </c>
      <c r="H205" s="932">
        <v>0</v>
      </c>
      <c r="I205" s="924">
        <v>0</v>
      </c>
      <c r="J205" s="924">
        <v>0</v>
      </c>
      <c r="K205" s="924">
        <v>0</v>
      </c>
    </row>
    <row r="206" spans="1:11" s="641" customFormat="1" x14ac:dyDescent="0.25">
      <c r="A206" s="94">
        <f t="shared" si="15"/>
        <v>154</v>
      </c>
      <c r="B206" s="608" t="s">
        <v>189</v>
      </c>
      <c r="C206" s="934" t="s">
        <v>1388</v>
      </c>
      <c r="D206" s="932">
        <v>0</v>
      </c>
      <c r="E206" s="924">
        <v>0</v>
      </c>
      <c r="F206" s="924">
        <v>0</v>
      </c>
      <c r="G206" s="932">
        <v>0</v>
      </c>
      <c r="H206" s="932">
        <v>0</v>
      </c>
      <c r="I206" s="924">
        <v>0</v>
      </c>
      <c r="J206" s="924">
        <v>0</v>
      </c>
      <c r="K206" s="924">
        <v>0</v>
      </c>
    </row>
    <row r="207" spans="1:11" s="641" customFormat="1" x14ac:dyDescent="0.25">
      <c r="A207" s="94">
        <f t="shared" si="15"/>
        <v>155</v>
      </c>
      <c r="B207" s="608" t="s">
        <v>192</v>
      </c>
      <c r="C207" s="934" t="s">
        <v>1388</v>
      </c>
      <c r="D207" s="932">
        <v>0</v>
      </c>
      <c r="E207" s="924">
        <v>0</v>
      </c>
      <c r="F207" s="924">
        <v>0</v>
      </c>
      <c r="G207" s="932">
        <v>0</v>
      </c>
      <c r="H207" s="932">
        <v>0</v>
      </c>
      <c r="I207" s="924">
        <v>0</v>
      </c>
      <c r="J207" s="924">
        <v>0</v>
      </c>
      <c r="K207" s="924">
        <v>0</v>
      </c>
    </row>
    <row r="208" spans="1:11" s="641" customFormat="1" x14ac:dyDescent="0.25">
      <c r="A208" s="94">
        <f t="shared" si="15"/>
        <v>156</v>
      </c>
      <c r="B208" s="608" t="s">
        <v>191</v>
      </c>
      <c r="C208" s="934" t="s">
        <v>1388</v>
      </c>
      <c r="D208" s="932">
        <v>0</v>
      </c>
      <c r="E208" s="924">
        <v>0</v>
      </c>
      <c r="F208" s="924">
        <v>0</v>
      </c>
      <c r="G208" s="932">
        <v>0</v>
      </c>
      <c r="H208" s="932">
        <v>0</v>
      </c>
      <c r="I208" s="924">
        <v>0</v>
      </c>
      <c r="J208" s="924">
        <v>0</v>
      </c>
      <c r="K208" s="924">
        <v>0</v>
      </c>
    </row>
    <row r="209" spans="1:11" s="641" customFormat="1" ht="15" x14ac:dyDescent="0.4">
      <c r="A209" s="94">
        <f t="shared" si="15"/>
        <v>157</v>
      </c>
      <c r="B209" s="608" t="s">
        <v>181</v>
      </c>
      <c r="C209" s="934" t="s">
        <v>1388</v>
      </c>
      <c r="D209" s="932">
        <v>0</v>
      </c>
      <c r="E209" s="924">
        <v>0</v>
      </c>
      <c r="F209" s="924">
        <v>0</v>
      </c>
      <c r="G209" s="932">
        <v>0</v>
      </c>
      <c r="H209" s="932">
        <v>0</v>
      </c>
      <c r="I209" s="924">
        <v>0</v>
      </c>
      <c r="J209" s="924">
        <v>0</v>
      </c>
      <c r="K209" s="925">
        <v>0</v>
      </c>
    </row>
    <row r="210" spans="1:11" s="641" customFormat="1" x14ac:dyDescent="0.25">
      <c r="A210" s="94">
        <f t="shared" si="15"/>
        <v>158</v>
      </c>
      <c r="B210"/>
      <c r="C210" s="640" t="s">
        <v>1626</v>
      </c>
      <c r="D210"/>
      <c r="E210"/>
      <c r="F210"/>
      <c r="G210"/>
      <c r="H210"/>
      <c r="I210"/>
      <c r="J210"/>
      <c r="K210" s="939">
        <v>0</v>
      </c>
    </row>
    <row r="211" spans="1:11" s="641" customFormat="1" x14ac:dyDescent="0.25">
      <c r="A211" s="94"/>
      <c r="B211"/>
      <c r="C211" s="640"/>
      <c r="D211"/>
      <c r="E211"/>
      <c r="F211"/>
      <c r="G211"/>
      <c r="H211"/>
      <c r="I211"/>
      <c r="J211"/>
      <c r="K211" s="66"/>
    </row>
    <row r="212" spans="1:11" s="641" customFormat="1" x14ac:dyDescent="0.25">
      <c r="B212" s="642" t="s">
        <v>1962</v>
      </c>
      <c r="D212" s="1175" t="s">
        <v>545</v>
      </c>
      <c r="E212" s="1175"/>
    </row>
    <row r="213" spans="1:11" s="641" customFormat="1" x14ac:dyDescent="0.25">
      <c r="D213" s="643"/>
      <c r="E213" s="643"/>
      <c r="F213" s="643"/>
      <c r="G213" s="547" t="str">
        <f>G51</f>
        <v>Unloaded</v>
      </c>
      <c r="H213" s="643"/>
      <c r="I213" s="643"/>
    </row>
    <row r="214" spans="1:11" s="641" customFormat="1" x14ac:dyDescent="0.25">
      <c r="A214" s="638"/>
      <c r="B214" s="638"/>
      <c r="C214" s="638"/>
      <c r="D214" s="638" t="str">
        <f>D$52</f>
        <v>Forecast</v>
      </c>
      <c r="E214" s="638" t="str">
        <f t="shared" ref="E214:J214" si="16">E$52</f>
        <v>Corporate</v>
      </c>
      <c r="F214" s="638" t="str">
        <f t="shared" si="16"/>
        <v xml:space="preserve">Total </v>
      </c>
      <c r="G214" s="547" t="str">
        <f>G52</f>
        <v>Total</v>
      </c>
      <c r="H214" s="638" t="str">
        <f t="shared" si="16"/>
        <v>Prior Period</v>
      </c>
      <c r="I214" s="638" t="str">
        <f t="shared" si="16"/>
        <v>Over Heads</v>
      </c>
      <c r="J214" s="638" t="str">
        <f t="shared" si="16"/>
        <v>Forecast</v>
      </c>
      <c r="K214" s="547" t="str">
        <f>K$52</f>
        <v>Forecast Period</v>
      </c>
    </row>
    <row r="215" spans="1:11" s="641" customFormat="1" x14ac:dyDescent="0.25">
      <c r="A215" s="844" t="s">
        <v>332</v>
      </c>
      <c r="B215" s="605" t="s">
        <v>193</v>
      </c>
      <c r="C215" s="605" t="s">
        <v>194</v>
      </c>
      <c r="D215" s="636" t="str">
        <f>D$53</f>
        <v>Expenditures</v>
      </c>
      <c r="E215" s="636" t="str">
        <f t="shared" ref="E215:J215" si="17">E$53</f>
        <v>Overheads</v>
      </c>
      <c r="F215" s="636" t="str">
        <f t="shared" si="17"/>
        <v>CWIP Exp</v>
      </c>
      <c r="G215" s="3" t="str">
        <f>G53</f>
        <v>Plant Adds</v>
      </c>
      <c r="H215" s="636" t="str">
        <f t="shared" si="17"/>
        <v>CWIP Closed</v>
      </c>
      <c r="I215" s="636" t="str">
        <f t="shared" si="17"/>
        <v>Closed to PIS</v>
      </c>
      <c r="J215" s="636" t="str">
        <f t="shared" si="17"/>
        <v>Period CWIP</v>
      </c>
      <c r="K215" s="636" t="str">
        <f>K$53</f>
        <v>Incremental CWIP</v>
      </c>
    </row>
    <row r="216" spans="1:11" s="641" customFormat="1" x14ac:dyDescent="0.25">
      <c r="A216" s="94">
        <f>A210+1</f>
        <v>159</v>
      </c>
      <c r="B216" s="606" t="s">
        <v>181</v>
      </c>
      <c r="C216" s="934" t="s">
        <v>1388</v>
      </c>
      <c r="D216" s="645" t="s">
        <v>77</v>
      </c>
      <c r="E216" s="645" t="s">
        <v>77</v>
      </c>
      <c r="F216" s="645" t="s">
        <v>77</v>
      </c>
      <c r="G216" s="645" t="s">
        <v>77</v>
      </c>
      <c r="H216" s="645" t="s">
        <v>77</v>
      </c>
      <c r="I216" s="645" t="s">
        <v>77</v>
      </c>
      <c r="J216" s="56">
        <f>I25</f>
        <v>0</v>
      </c>
      <c r="K216" s="645" t="s">
        <v>77</v>
      </c>
    </row>
    <row r="217" spans="1:11" s="641" customFormat="1" x14ac:dyDescent="0.25">
      <c r="A217" s="94">
        <f>A216+1</f>
        <v>160</v>
      </c>
      <c r="B217" s="606" t="s">
        <v>182</v>
      </c>
      <c r="C217" s="934" t="s">
        <v>1388</v>
      </c>
      <c r="D217" s="932">
        <v>0</v>
      </c>
      <c r="E217" s="924">
        <v>0</v>
      </c>
      <c r="F217" s="924">
        <v>0</v>
      </c>
      <c r="G217" s="932">
        <v>0</v>
      </c>
      <c r="H217" s="932">
        <v>0</v>
      </c>
      <c r="I217" s="924">
        <v>0</v>
      </c>
      <c r="J217" s="924">
        <v>0</v>
      </c>
      <c r="K217" s="924">
        <v>0</v>
      </c>
    </row>
    <row r="218" spans="1:11" s="641" customFormat="1" x14ac:dyDescent="0.25">
      <c r="A218" s="94">
        <f t="shared" ref="A218:A241" si="18">A217+1</f>
        <v>161</v>
      </c>
      <c r="B218" s="608" t="s">
        <v>183</v>
      </c>
      <c r="C218" s="934" t="s">
        <v>1388</v>
      </c>
      <c r="D218" s="932">
        <v>0</v>
      </c>
      <c r="E218" s="924">
        <v>0</v>
      </c>
      <c r="F218" s="924">
        <v>0</v>
      </c>
      <c r="G218" s="932">
        <v>0</v>
      </c>
      <c r="H218" s="932">
        <v>0</v>
      </c>
      <c r="I218" s="924">
        <v>0</v>
      </c>
      <c r="J218" s="924">
        <v>0</v>
      </c>
      <c r="K218" s="924">
        <v>0</v>
      </c>
    </row>
    <row r="219" spans="1:11" s="641" customFormat="1" x14ac:dyDescent="0.25">
      <c r="A219" s="94">
        <f t="shared" si="18"/>
        <v>162</v>
      </c>
      <c r="B219" s="608" t="s">
        <v>196</v>
      </c>
      <c r="C219" s="934" t="s">
        <v>1388</v>
      </c>
      <c r="D219" s="932">
        <v>0</v>
      </c>
      <c r="E219" s="924">
        <v>0</v>
      </c>
      <c r="F219" s="924">
        <v>0</v>
      </c>
      <c r="G219" s="932">
        <v>0</v>
      </c>
      <c r="H219" s="932">
        <v>0</v>
      </c>
      <c r="I219" s="924">
        <v>0</v>
      </c>
      <c r="J219" s="924">
        <v>0</v>
      </c>
      <c r="K219" s="924">
        <v>0</v>
      </c>
    </row>
    <row r="220" spans="1:11" s="641" customFormat="1" x14ac:dyDescent="0.25">
      <c r="A220" s="94">
        <f t="shared" si="18"/>
        <v>163</v>
      </c>
      <c r="B220" s="606" t="s">
        <v>184</v>
      </c>
      <c r="C220" s="934" t="s">
        <v>1388</v>
      </c>
      <c r="D220" s="932">
        <v>0</v>
      </c>
      <c r="E220" s="924">
        <v>0</v>
      </c>
      <c r="F220" s="924">
        <v>0</v>
      </c>
      <c r="G220" s="932">
        <v>0</v>
      </c>
      <c r="H220" s="932">
        <v>0</v>
      </c>
      <c r="I220" s="924">
        <v>0</v>
      </c>
      <c r="J220" s="924">
        <v>0</v>
      </c>
      <c r="K220" s="924">
        <v>0</v>
      </c>
    </row>
    <row r="221" spans="1:11" s="641" customFormat="1" x14ac:dyDescent="0.25">
      <c r="A221" s="94">
        <f t="shared" si="18"/>
        <v>164</v>
      </c>
      <c r="B221" s="608" t="s">
        <v>185</v>
      </c>
      <c r="C221" s="934" t="s">
        <v>1388</v>
      </c>
      <c r="D221" s="932">
        <v>0</v>
      </c>
      <c r="E221" s="924">
        <v>0</v>
      </c>
      <c r="F221" s="924">
        <v>0</v>
      </c>
      <c r="G221" s="932">
        <v>0</v>
      </c>
      <c r="H221" s="932">
        <v>0</v>
      </c>
      <c r="I221" s="924">
        <v>0</v>
      </c>
      <c r="J221" s="924">
        <v>0</v>
      </c>
      <c r="K221" s="924">
        <v>0</v>
      </c>
    </row>
    <row r="222" spans="1:11" s="641" customFormat="1" x14ac:dyDescent="0.25">
      <c r="A222" s="94">
        <f t="shared" si="18"/>
        <v>165</v>
      </c>
      <c r="B222" s="608" t="s">
        <v>1475</v>
      </c>
      <c r="C222" s="934" t="s">
        <v>1388</v>
      </c>
      <c r="D222" s="932">
        <v>0</v>
      </c>
      <c r="E222" s="924">
        <v>0</v>
      </c>
      <c r="F222" s="924">
        <v>0</v>
      </c>
      <c r="G222" s="932">
        <v>0</v>
      </c>
      <c r="H222" s="932">
        <v>0</v>
      </c>
      <c r="I222" s="924">
        <v>0</v>
      </c>
      <c r="J222" s="924">
        <v>0</v>
      </c>
      <c r="K222" s="924">
        <v>0</v>
      </c>
    </row>
    <row r="223" spans="1:11" s="641" customFormat="1" x14ac:dyDescent="0.25">
      <c r="A223" s="94">
        <f t="shared" si="18"/>
        <v>166</v>
      </c>
      <c r="B223" s="606" t="s">
        <v>187</v>
      </c>
      <c r="C223" s="934" t="s">
        <v>1388</v>
      </c>
      <c r="D223" s="932">
        <v>0</v>
      </c>
      <c r="E223" s="924">
        <v>0</v>
      </c>
      <c r="F223" s="924">
        <v>0</v>
      </c>
      <c r="G223" s="932">
        <v>0</v>
      </c>
      <c r="H223" s="932">
        <v>0</v>
      </c>
      <c r="I223" s="924">
        <v>0</v>
      </c>
      <c r="J223" s="924">
        <v>0</v>
      </c>
      <c r="K223" s="924">
        <v>0</v>
      </c>
    </row>
    <row r="224" spans="1:11" s="641" customFormat="1" x14ac:dyDescent="0.25">
      <c r="A224" s="94">
        <f t="shared" si="18"/>
        <v>167</v>
      </c>
      <c r="B224" s="608" t="s">
        <v>188</v>
      </c>
      <c r="C224" s="934" t="s">
        <v>1388</v>
      </c>
      <c r="D224" s="932">
        <v>0</v>
      </c>
      <c r="E224" s="924">
        <v>0</v>
      </c>
      <c r="F224" s="924">
        <v>0</v>
      </c>
      <c r="G224" s="932">
        <v>0</v>
      </c>
      <c r="H224" s="932">
        <v>0</v>
      </c>
      <c r="I224" s="924">
        <v>0</v>
      </c>
      <c r="J224" s="924">
        <v>0</v>
      </c>
      <c r="K224" s="924">
        <v>0</v>
      </c>
    </row>
    <row r="225" spans="1:11" s="641" customFormat="1" x14ac:dyDescent="0.25">
      <c r="A225" s="94">
        <f t="shared" si="18"/>
        <v>168</v>
      </c>
      <c r="B225" s="608" t="s">
        <v>189</v>
      </c>
      <c r="C225" s="934" t="s">
        <v>1388</v>
      </c>
      <c r="D225" s="932">
        <v>0</v>
      </c>
      <c r="E225" s="924">
        <v>0</v>
      </c>
      <c r="F225" s="924">
        <v>0</v>
      </c>
      <c r="G225" s="932">
        <v>0</v>
      </c>
      <c r="H225" s="932">
        <v>0</v>
      </c>
      <c r="I225" s="924">
        <v>0</v>
      </c>
      <c r="J225" s="924">
        <v>0</v>
      </c>
      <c r="K225" s="924">
        <v>0</v>
      </c>
    </row>
    <row r="226" spans="1:11" s="641" customFormat="1" x14ac:dyDescent="0.25">
      <c r="A226" s="94">
        <f t="shared" si="18"/>
        <v>169</v>
      </c>
      <c r="B226" s="606" t="s">
        <v>192</v>
      </c>
      <c r="C226" s="934" t="s">
        <v>1388</v>
      </c>
      <c r="D226" s="932">
        <v>0</v>
      </c>
      <c r="E226" s="924">
        <v>0</v>
      </c>
      <c r="F226" s="924">
        <v>0</v>
      </c>
      <c r="G226" s="932">
        <v>0</v>
      </c>
      <c r="H226" s="932">
        <v>0</v>
      </c>
      <c r="I226" s="924">
        <v>0</v>
      </c>
      <c r="J226" s="924">
        <v>0</v>
      </c>
      <c r="K226" s="924">
        <v>0</v>
      </c>
    </row>
    <row r="227" spans="1:11" s="641" customFormat="1" x14ac:dyDescent="0.25">
      <c r="A227" s="94">
        <f t="shared" si="18"/>
        <v>170</v>
      </c>
      <c r="B227" s="606" t="s">
        <v>191</v>
      </c>
      <c r="C227" s="934" t="s">
        <v>1388</v>
      </c>
      <c r="D227" s="932">
        <v>0</v>
      </c>
      <c r="E227" s="924">
        <v>0</v>
      </c>
      <c r="F227" s="924">
        <v>0</v>
      </c>
      <c r="G227" s="932">
        <v>0</v>
      </c>
      <c r="H227" s="932">
        <v>0</v>
      </c>
      <c r="I227" s="924">
        <v>0</v>
      </c>
      <c r="J227" s="924">
        <v>0</v>
      </c>
      <c r="K227" s="924">
        <v>0</v>
      </c>
    </row>
    <row r="228" spans="1:11" s="641" customFormat="1" x14ac:dyDescent="0.25">
      <c r="A228" s="94">
        <f t="shared" si="18"/>
        <v>171</v>
      </c>
      <c r="B228" s="606" t="s">
        <v>181</v>
      </c>
      <c r="C228" s="934" t="s">
        <v>1388</v>
      </c>
      <c r="D228" s="932">
        <v>0</v>
      </c>
      <c r="E228" s="924">
        <v>0</v>
      </c>
      <c r="F228" s="924">
        <v>0</v>
      </c>
      <c r="G228" s="932">
        <v>0</v>
      </c>
      <c r="H228" s="932">
        <v>0</v>
      </c>
      <c r="I228" s="924">
        <v>0</v>
      </c>
      <c r="J228" s="924">
        <v>0</v>
      </c>
      <c r="K228" s="924">
        <v>0</v>
      </c>
    </row>
    <row r="229" spans="1:11" s="641" customFormat="1" x14ac:dyDescent="0.25">
      <c r="A229" s="94">
        <f t="shared" si="18"/>
        <v>172</v>
      </c>
      <c r="B229" s="606" t="s">
        <v>182</v>
      </c>
      <c r="C229" s="934" t="s">
        <v>1388</v>
      </c>
      <c r="D229" s="932">
        <v>0</v>
      </c>
      <c r="E229" s="924">
        <v>0</v>
      </c>
      <c r="F229" s="924">
        <v>0</v>
      </c>
      <c r="G229" s="932">
        <v>0</v>
      </c>
      <c r="H229" s="932">
        <v>0</v>
      </c>
      <c r="I229" s="924">
        <v>0</v>
      </c>
      <c r="J229" s="924">
        <v>0</v>
      </c>
      <c r="K229" s="924">
        <v>0</v>
      </c>
    </row>
    <row r="230" spans="1:11" s="641" customFormat="1" x14ac:dyDescent="0.25">
      <c r="A230" s="94">
        <f t="shared" si="18"/>
        <v>173</v>
      </c>
      <c r="B230" s="608" t="s">
        <v>183</v>
      </c>
      <c r="C230" s="934" t="s">
        <v>1388</v>
      </c>
      <c r="D230" s="932">
        <v>0</v>
      </c>
      <c r="E230" s="924">
        <v>0</v>
      </c>
      <c r="F230" s="924">
        <v>0</v>
      </c>
      <c r="G230" s="932">
        <v>0</v>
      </c>
      <c r="H230" s="932">
        <v>0</v>
      </c>
      <c r="I230" s="924">
        <v>0</v>
      </c>
      <c r="J230" s="924">
        <v>0</v>
      </c>
      <c r="K230" s="924">
        <v>0</v>
      </c>
    </row>
    <row r="231" spans="1:11" s="641" customFormat="1" x14ac:dyDescent="0.25">
      <c r="A231" s="94">
        <f t="shared" si="18"/>
        <v>174</v>
      </c>
      <c r="B231" s="608" t="s">
        <v>196</v>
      </c>
      <c r="C231" s="934" t="s">
        <v>1388</v>
      </c>
      <c r="D231" s="932">
        <v>0</v>
      </c>
      <c r="E231" s="924">
        <v>0</v>
      </c>
      <c r="F231" s="924">
        <v>0</v>
      </c>
      <c r="G231" s="932">
        <v>0</v>
      </c>
      <c r="H231" s="932">
        <v>0</v>
      </c>
      <c r="I231" s="924">
        <v>0</v>
      </c>
      <c r="J231" s="924">
        <v>0</v>
      </c>
      <c r="K231" s="924">
        <v>0</v>
      </c>
    </row>
    <row r="232" spans="1:11" s="641" customFormat="1" x14ac:dyDescent="0.25">
      <c r="A232" s="94">
        <f t="shared" si="18"/>
        <v>175</v>
      </c>
      <c r="B232" s="606" t="s">
        <v>184</v>
      </c>
      <c r="C232" s="934" t="s">
        <v>1388</v>
      </c>
      <c r="D232" s="932">
        <v>0</v>
      </c>
      <c r="E232" s="924">
        <v>0</v>
      </c>
      <c r="F232" s="924">
        <v>0</v>
      </c>
      <c r="G232" s="932">
        <v>0</v>
      </c>
      <c r="H232" s="932">
        <v>0</v>
      </c>
      <c r="I232" s="924">
        <v>0</v>
      </c>
      <c r="J232" s="924">
        <v>0</v>
      </c>
      <c r="K232" s="924">
        <v>0</v>
      </c>
    </row>
    <row r="233" spans="1:11" s="641" customFormat="1" x14ac:dyDescent="0.25">
      <c r="A233" s="94">
        <f t="shared" si="18"/>
        <v>176</v>
      </c>
      <c r="B233" s="608" t="s">
        <v>185</v>
      </c>
      <c r="C233" s="934" t="s">
        <v>1388</v>
      </c>
      <c r="D233" s="932">
        <v>0</v>
      </c>
      <c r="E233" s="924">
        <v>0</v>
      </c>
      <c r="F233" s="924">
        <v>0</v>
      </c>
      <c r="G233" s="932">
        <v>0</v>
      </c>
      <c r="H233" s="932">
        <v>0</v>
      </c>
      <c r="I233" s="924">
        <v>0</v>
      </c>
      <c r="J233" s="924">
        <v>0</v>
      </c>
      <c r="K233" s="924">
        <v>0</v>
      </c>
    </row>
    <row r="234" spans="1:11" s="641" customFormat="1" x14ac:dyDescent="0.25">
      <c r="A234" s="94">
        <f t="shared" si="18"/>
        <v>177</v>
      </c>
      <c r="B234" s="608" t="s">
        <v>1475</v>
      </c>
      <c r="C234" s="934" t="s">
        <v>1388</v>
      </c>
      <c r="D234" s="932">
        <v>0</v>
      </c>
      <c r="E234" s="924">
        <v>0</v>
      </c>
      <c r="F234" s="924">
        <v>0</v>
      </c>
      <c r="G234" s="932">
        <v>0</v>
      </c>
      <c r="H234" s="932">
        <v>0</v>
      </c>
      <c r="I234" s="924">
        <v>0</v>
      </c>
      <c r="J234" s="924">
        <v>0</v>
      </c>
      <c r="K234" s="924">
        <v>0</v>
      </c>
    </row>
    <row r="235" spans="1:11" s="641" customFormat="1" x14ac:dyDescent="0.25">
      <c r="A235" s="94">
        <f t="shared" si="18"/>
        <v>178</v>
      </c>
      <c r="B235" s="606" t="s">
        <v>187</v>
      </c>
      <c r="C235" s="934" t="s">
        <v>1388</v>
      </c>
      <c r="D235" s="932">
        <v>0</v>
      </c>
      <c r="E235" s="924">
        <v>0</v>
      </c>
      <c r="F235" s="924">
        <v>0</v>
      </c>
      <c r="G235" s="932">
        <v>0</v>
      </c>
      <c r="H235" s="932">
        <v>0</v>
      </c>
      <c r="I235" s="924">
        <v>0</v>
      </c>
      <c r="J235" s="924">
        <v>0</v>
      </c>
      <c r="K235" s="924">
        <v>0</v>
      </c>
    </row>
    <row r="236" spans="1:11" s="641" customFormat="1" x14ac:dyDescent="0.25">
      <c r="A236" s="94">
        <f t="shared" si="18"/>
        <v>179</v>
      </c>
      <c r="B236" s="608" t="s">
        <v>188</v>
      </c>
      <c r="C236" s="934" t="s">
        <v>1388</v>
      </c>
      <c r="D236" s="932">
        <v>0</v>
      </c>
      <c r="E236" s="924">
        <v>0</v>
      </c>
      <c r="F236" s="924">
        <v>0</v>
      </c>
      <c r="G236" s="932">
        <v>0</v>
      </c>
      <c r="H236" s="932">
        <v>0</v>
      </c>
      <c r="I236" s="924">
        <v>0</v>
      </c>
      <c r="J236" s="924">
        <v>0</v>
      </c>
      <c r="K236" s="924">
        <v>0</v>
      </c>
    </row>
    <row r="237" spans="1:11" s="641" customFormat="1" x14ac:dyDescent="0.25">
      <c r="A237" s="94">
        <f t="shared" si="18"/>
        <v>180</v>
      </c>
      <c r="B237" s="608" t="s">
        <v>189</v>
      </c>
      <c r="C237" s="934" t="s">
        <v>1388</v>
      </c>
      <c r="D237" s="932">
        <v>0</v>
      </c>
      <c r="E237" s="924">
        <v>0</v>
      </c>
      <c r="F237" s="924">
        <v>0</v>
      </c>
      <c r="G237" s="932">
        <v>0</v>
      </c>
      <c r="H237" s="932">
        <v>0</v>
      </c>
      <c r="I237" s="924">
        <v>0</v>
      </c>
      <c r="J237" s="924">
        <v>0</v>
      </c>
      <c r="K237" s="924">
        <v>0</v>
      </c>
    </row>
    <row r="238" spans="1:11" s="641" customFormat="1" x14ac:dyDescent="0.25">
      <c r="A238" s="94">
        <f t="shared" si="18"/>
        <v>181</v>
      </c>
      <c r="B238" s="608" t="s">
        <v>192</v>
      </c>
      <c r="C238" s="934" t="s">
        <v>1388</v>
      </c>
      <c r="D238" s="932">
        <v>0</v>
      </c>
      <c r="E238" s="924">
        <v>0</v>
      </c>
      <c r="F238" s="924">
        <v>0</v>
      </c>
      <c r="G238" s="932">
        <v>0</v>
      </c>
      <c r="H238" s="932">
        <v>0</v>
      </c>
      <c r="I238" s="924">
        <v>0</v>
      </c>
      <c r="J238" s="924">
        <v>0</v>
      </c>
      <c r="K238" s="924">
        <v>0</v>
      </c>
    </row>
    <row r="239" spans="1:11" s="641" customFormat="1" x14ac:dyDescent="0.25">
      <c r="A239" s="94">
        <f t="shared" si="18"/>
        <v>182</v>
      </c>
      <c r="B239" s="608" t="s">
        <v>191</v>
      </c>
      <c r="C239" s="934" t="s">
        <v>1388</v>
      </c>
      <c r="D239" s="932">
        <v>0</v>
      </c>
      <c r="E239" s="924">
        <v>0</v>
      </c>
      <c r="F239" s="924">
        <v>0</v>
      </c>
      <c r="G239" s="932">
        <v>0</v>
      </c>
      <c r="H239" s="932">
        <v>0</v>
      </c>
      <c r="I239" s="924">
        <v>0</v>
      </c>
      <c r="J239" s="924">
        <v>0</v>
      </c>
      <c r="K239" s="924">
        <v>0</v>
      </c>
    </row>
    <row r="240" spans="1:11" s="641" customFormat="1" ht="15" x14ac:dyDescent="0.4">
      <c r="A240" s="94">
        <f t="shared" si="18"/>
        <v>183</v>
      </c>
      <c r="B240" s="608" t="s">
        <v>181</v>
      </c>
      <c r="C240" s="934" t="s">
        <v>1388</v>
      </c>
      <c r="D240" s="932">
        <v>0</v>
      </c>
      <c r="E240" s="924">
        <v>0</v>
      </c>
      <c r="F240" s="924">
        <v>0</v>
      </c>
      <c r="G240" s="932">
        <v>0</v>
      </c>
      <c r="H240" s="932">
        <v>0</v>
      </c>
      <c r="I240" s="924">
        <v>0</v>
      </c>
      <c r="J240" s="924">
        <v>0</v>
      </c>
      <c r="K240" s="925">
        <v>0</v>
      </c>
    </row>
    <row r="241" spans="1:11" s="641" customFormat="1" x14ac:dyDescent="0.25">
      <c r="A241" s="94">
        <f t="shared" si="18"/>
        <v>184</v>
      </c>
      <c r="B241"/>
      <c r="C241" s="640" t="s">
        <v>1626</v>
      </c>
      <c r="D241"/>
      <c r="E241"/>
      <c r="F241"/>
      <c r="G241"/>
      <c r="H241"/>
      <c r="I241"/>
      <c r="J241"/>
      <c r="K241" s="939">
        <v>0</v>
      </c>
    </row>
    <row r="242" spans="1:11" s="641" customFormat="1" x14ac:dyDescent="0.25">
      <c r="A242" s="94"/>
      <c r="B242"/>
      <c r="C242" s="640"/>
      <c r="D242"/>
      <c r="E242"/>
      <c r="F242"/>
      <c r="G242"/>
      <c r="H242"/>
      <c r="I242"/>
      <c r="J242"/>
      <c r="K242" s="66"/>
    </row>
    <row r="243" spans="1:11" s="641" customFormat="1" x14ac:dyDescent="0.25">
      <c r="B243" s="642" t="s">
        <v>1963</v>
      </c>
      <c r="D243" s="1175" t="s">
        <v>1964</v>
      </c>
      <c r="E243" s="1175"/>
    </row>
    <row r="244" spans="1:11" s="641" customFormat="1" x14ac:dyDescent="0.25">
      <c r="A244" s="636"/>
      <c r="B244" s="636"/>
      <c r="C244" s="636"/>
      <c r="D244" s="636" t="s">
        <v>363</v>
      </c>
      <c r="E244" s="636" t="s">
        <v>347</v>
      </c>
      <c r="F244" s="636" t="s">
        <v>348</v>
      </c>
      <c r="G244" s="636" t="s">
        <v>349</v>
      </c>
      <c r="H244" s="636" t="s">
        <v>350</v>
      </c>
      <c r="I244" s="636" t="s">
        <v>351</v>
      </c>
      <c r="J244" s="636" t="s">
        <v>352</v>
      </c>
      <c r="K244" s="636" t="s">
        <v>541</v>
      </c>
    </row>
    <row r="245" spans="1:11" s="641" customFormat="1" ht="26.4" x14ac:dyDescent="0.25">
      <c r="D245" s="643"/>
      <c r="E245" s="644" t="s">
        <v>2094</v>
      </c>
      <c r="F245" s="645" t="s">
        <v>1955</v>
      </c>
      <c r="G245" s="452"/>
      <c r="H245" s="643"/>
      <c r="I245" s="644" t="s">
        <v>2095</v>
      </c>
      <c r="J245" s="644" t="s">
        <v>1956</v>
      </c>
      <c r="K245" s="644" t="s">
        <v>1957</v>
      </c>
    </row>
    <row r="246" spans="1:11" s="641" customFormat="1" x14ac:dyDescent="0.25">
      <c r="D246" s="643"/>
      <c r="E246" s="643"/>
      <c r="F246" s="643"/>
      <c r="G246" s="547" t="s">
        <v>1965</v>
      </c>
      <c r="H246" s="643"/>
      <c r="I246" s="643"/>
    </row>
    <row r="247" spans="1:11" s="641" customFormat="1" x14ac:dyDescent="0.25">
      <c r="A247" s="638"/>
      <c r="B247" s="638"/>
      <c r="C247" s="638"/>
      <c r="D247" s="638" t="str">
        <f>D$52</f>
        <v>Forecast</v>
      </c>
      <c r="E247" s="638" t="str">
        <f t="shared" ref="E247:J247" si="19">E$52</f>
        <v>Corporate</v>
      </c>
      <c r="F247" s="638" t="str">
        <f t="shared" si="19"/>
        <v xml:space="preserve">Total </v>
      </c>
      <c r="G247" s="638" t="s">
        <v>197</v>
      </c>
      <c r="H247" s="638" t="str">
        <f t="shared" si="19"/>
        <v>Prior Period</v>
      </c>
      <c r="I247" s="638" t="str">
        <f t="shared" si="19"/>
        <v>Over Heads</v>
      </c>
      <c r="J247" s="638" t="str">
        <f t="shared" si="19"/>
        <v>Forecast</v>
      </c>
      <c r="K247" s="547" t="str">
        <f>K$52</f>
        <v>Forecast Period</v>
      </c>
    </row>
    <row r="248" spans="1:11" s="641" customFormat="1" x14ac:dyDescent="0.25">
      <c r="A248" s="844" t="s">
        <v>332</v>
      </c>
      <c r="B248" s="605" t="s">
        <v>193</v>
      </c>
      <c r="C248" s="605" t="s">
        <v>194</v>
      </c>
      <c r="D248" s="636" t="str">
        <f>D$53</f>
        <v>Expenditures</v>
      </c>
      <c r="E248" s="636" t="str">
        <f t="shared" ref="E248:J248" si="20">E$53</f>
        <v>Overheads</v>
      </c>
      <c r="F248" s="636" t="str">
        <f t="shared" si="20"/>
        <v>CWIP Exp</v>
      </c>
      <c r="G248" s="636" t="s">
        <v>1948</v>
      </c>
      <c r="H248" s="636" t="str">
        <f t="shared" si="20"/>
        <v>CWIP Closed</v>
      </c>
      <c r="I248" s="636" t="str">
        <f t="shared" si="20"/>
        <v>Closed to PIS</v>
      </c>
      <c r="J248" s="636" t="str">
        <f t="shared" si="20"/>
        <v>Period CWIP</v>
      </c>
      <c r="K248" s="636" t="str">
        <f>K$53</f>
        <v>Incremental CWIP</v>
      </c>
    </row>
    <row r="249" spans="1:11" s="641" customFormat="1" x14ac:dyDescent="0.25">
      <c r="A249" s="94">
        <f>A241+1</f>
        <v>185</v>
      </c>
      <c r="B249" s="606" t="s">
        <v>181</v>
      </c>
      <c r="C249" s="934" t="s">
        <v>1388</v>
      </c>
      <c r="D249" s="645" t="s">
        <v>77</v>
      </c>
      <c r="E249" s="645" t="s">
        <v>77</v>
      </c>
      <c r="F249" s="645" t="s">
        <v>77</v>
      </c>
      <c r="G249" s="645" t="s">
        <v>77</v>
      </c>
      <c r="H249" s="645" t="s">
        <v>77</v>
      </c>
      <c r="I249" s="645" t="s">
        <v>77</v>
      </c>
      <c r="J249" s="56">
        <f>D45</f>
        <v>0</v>
      </c>
      <c r="K249" s="645" t="s">
        <v>77</v>
      </c>
    </row>
    <row r="250" spans="1:11" s="641" customFormat="1" x14ac:dyDescent="0.25">
      <c r="A250" s="94">
        <f>A249+1</f>
        <v>186</v>
      </c>
      <c r="B250" s="606" t="s">
        <v>182</v>
      </c>
      <c r="C250" s="934" t="s">
        <v>1388</v>
      </c>
      <c r="D250" s="932">
        <v>0</v>
      </c>
      <c r="E250" s="924">
        <v>0</v>
      </c>
      <c r="F250" s="924">
        <v>0</v>
      </c>
      <c r="G250" s="932">
        <v>0</v>
      </c>
      <c r="H250" s="932">
        <v>0</v>
      </c>
      <c r="I250" s="924">
        <v>0</v>
      </c>
      <c r="J250" s="924">
        <v>0</v>
      </c>
      <c r="K250" s="924">
        <v>0</v>
      </c>
    </row>
    <row r="251" spans="1:11" s="641" customFormat="1" x14ac:dyDescent="0.25">
      <c r="A251" s="94">
        <f t="shared" ref="A251:A274" si="21">A250+1</f>
        <v>187</v>
      </c>
      <c r="B251" s="608" t="s">
        <v>183</v>
      </c>
      <c r="C251" s="934" t="s">
        <v>1388</v>
      </c>
      <c r="D251" s="932">
        <v>0</v>
      </c>
      <c r="E251" s="924">
        <v>0</v>
      </c>
      <c r="F251" s="924">
        <v>0</v>
      </c>
      <c r="G251" s="932">
        <v>0</v>
      </c>
      <c r="H251" s="932">
        <v>0</v>
      </c>
      <c r="I251" s="924">
        <v>0</v>
      </c>
      <c r="J251" s="924">
        <v>0</v>
      </c>
      <c r="K251" s="924">
        <v>0</v>
      </c>
    </row>
    <row r="252" spans="1:11" s="641" customFormat="1" x14ac:dyDescent="0.25">
      <c r="A252" s="94">
        <f t="shared" si="21"/>
        <v>188</v>
      </c>
      <c r="B252" s="608" t="s">
        <v>196</v>
      </c>
      <c r="C252" s="934" t="s">
        <v>1388</v>
      </c>
      <c r="D252" s="932">
        <v>0</v>
      </c>
      <c r="E252" s="924">
        <v>0</v>
      </c>
      <c r="F252" s="924">
        <v>0</v>
      </c>
      <c r="G252" s="932">
        <v>0</v>
      </c>
      <c r="H252" s="932">
        <v>0</v>
      </c>
      <c r="I252" s="924">
        <v>0</v>
      </c>
      <c r="J252" s="924">
        <v>0</v>
      </c>
      <c r="K252" s="924">
        <v>0</v>
      </c>
    </row>
    <row r="253" spans="1:11" s="641" customFormat="1" x14ac:dyDescent="0.25">
      <c r="A253" s="94">
        <f t="shared" si="21"/>
        <v>189</v>
      </c>
      <c r="B253" s="606" t="s">
        <v>184</v>
      </c>
      <c r="C253" s="934" t="s">
        <v>1388</v>
      </c>
      <c r="D253" s="932">
        <v>0</v>
      </c>
      <c r="E253" s="924">
        <v>0</v>
      </c>
      <c r="F253" s="924">
        <v>0</v>
      </c>
      <c r="G253" s="932">
        <v>0</v>
      </c>
      <c r="H253" s="932">
        <v>0</v>
      </c>
      <c r="I253" s="924">
        <v>0</v>
      </c>
      <c r="J253" s="924">
        <v>0</v>
      </c>
      <c r="K253" s="924">
        <v>0</v>
      </c>
    </row>
    <row r="254" spans="1:11" s="641" customFormat="1" x14ac:dyDescent="0.25">
      <c r="A254" s="94">
        <f t="shared" si="21"/>
        <v>190</v>
      </c>
      <c r="B254" s="608" t="s">
        <v>185</v>
      </c>
      <c r="C254" s="934" t="s">
        <v>1388</v>
      </c>
      <c r="D254" s="932">
        <v>0</v>
      </c>
      <c r="E254" s="924">
        <v>0</v>
      </c>
      <c r="F254" s="924">
        <v>0</v>
      </c>
      <c r="G254" s="932">
        <v>0</v>
      </c>
      <c r="H254" s="932">
        <v>0</v>
      </c>
      <c r="I254" s="924">
        <v>0</v>
      </c>
      <c r="J254" s="924">
        <v>0</v>
      </c>
      <c r="K254" s="924">
        <v>0</v>
      </c>
    </row>
    <row r="255" spans="1:11" s="641" customFormat="1" x14ac:dyDescent="0.25">
      <c r="A255" s="94">
        <f t="shared" si="21"/>
        <v>191</v>
      </c>
      <c r="B255" s="608" t="s">
        <v>1475</v>
      </c>
      <c r="C255" s="934" t="s">
        <v>1388</v>
      </c>
      <c r="D255" s="932">
        <v>0</v>
      </c>
      <c r="E255" s="924">
        <v>0</v>
      </c>
      <c r="F255" s="924">
        <v>0</v>
      </c>
      <c r="G255" s="932">
        <v>0</v>
      </c>
      <c r="H255" s="932">
        <v>0</v>
      </c>
      <c r="I255" s="924">
        <v>0</v>
      </c>
      <c r="J255" s="924">
        <v>0</v>
      </c>
      <c r="K255" s="924">
        <v>0</v>
      </c>
    </row>
    <row r="256" spans="1:11" s="641" customFormat="1" x14ac:dyDescent="0.25">
      <c r="A256" s="94">
        <f t="shared" si="21"/>
        <v>192</v>
      </c>
      <c r="B256" s="606" t="s">
        <v>187</v>
      </c>
      <c r="C256" s="934" t="s">
        <v>1388</v>
      </c>
      <c r="D256" s="932">
        <v>0</v>
      </c>
      <c r="E256" s="924">
        <v>0</v>
      </c>
      <c r="F256" s="924">
        <v>0</v>
      </c>
      <c r="G256" s="932">
        <v>0</v>
      </c>
      <c r="H256" s="932">
        <v>0</v>
      </c>
      <c r="I256" s="924">
        <v>0</v>
      </c>
      <c r="J256" s="924">
        <v>0</v>
      </c>
      <c r="K256" s="924">
        <v>0</v>
      </c>
    </row>
    <row r="257" spans="1:11" s="641" customFormat="1" x14ac:dyDescent="0.25">
      <c r="A257" s="94">
        <f t="shared" si="21"/>
        <v>193</v>
      </c>
      <c r="B257" s="608" t="s">
        <v>188</v>
      </c>
      <c r="C257" s="934" t="s">
        <v>1388</v>
      </c>
      <c r="D257" s="932">
        <v>0</v>
      </c>
      <c r="E257" s="924">
        <v>0</v>
      </c>
      <c r="F257" s="924">
        <v>0</v>
      </c>
      <c r="G257" s="932">
        <v>0</v>
      </c>
      <c r="H257" s="932">
        <v>0</v>
      </c>
      <c r="I257" s="924">
        <v>0</v>
      </c>
      <c r="J257" s="924">
        <v>0</v>
      </c>
      <c r="K257" s="924">
        <v>0</v>
      </c>
    </row>
    <row r="258" spans="1:11" s="641" customFormat="1" x14ac:dyDescent="0.25">
      <c r="A258" s="94">
        <f t="shared" si="21"/>
        <v>194</v>
      </c>
      <c r="B258" s="608" t="s">
        <v>189</v>
      </c>
      <c r="C258" s="934" t="s">
        <v>1388</v>
      </c>
      <c r="D258" s="932">
        <v>0</v>
      </c>
      <c r="E258" s="924">
        <v>0</v>
      </c>
      <c r="F258" s="924">
        <v>0</v>
      </c>
      <c r="G258" s="932">
        <v>0</v>
      </c>
      <c r="H258" s="932">
        <v>0</v>
      </c>
      <c r="I258" s="924">
        <v>0</v>
      </c>
      <c r="J258" s="924">
        <v>0</v>
      </c>
      <c r="K258" s="924">
        <v>0</v>
      </c>
    </row>
    <row r="259" spans="1:11" s="641" customFormat="1" x14ac:dyDescent="0.25">
      <c r="A259" s="94">
        <f t="shared" si="21"/>
        <v>195</v>
      </c>
      <c r="B259" s="606" t="s">
        <v>192</v>
      </c>
      <c r="C259" s="934" t="s">
        <v>1388</v>
      </c>
      <c r="D259" s="932">
        <v>0</v>
      </c>
      <c r="E259" s="924">
        <v>0</v>
      </c>
      <c r="F259" s="924">
        <v>0</v>
      </c>
      <c r="G259" s="932">
        <v>0</v>
      </c>
      <c r="H259" s="932">
        <v>0</v>
      </c>
      <c r="I259" s="924">
        <v>0</v>
      </c>
      <c r="J259" s="924">
        <v>0</v>
      </c>
      <c r="K259" s="924">
        <v>0</v>
      </c>
    </row>
    <row r="260" spans="1:11" s="641" customFormat="1" x14ac:dyDescent="0.25">
      <c r="A260" s="94">
        <f t="shared" si="21"/>
        <v>196</v>
      </c>
      <c r="B260" s="606" t="s">
        <v>191</v>
      </c>
      <c r="C260" s="934" t="s">
        <v>1388</v>
      </c>
      <c r="D260" s="932">
        <v>0</v>
      </c>
      <c r="E260" s="924">
        <v>0</v>
      </c>
      <c r="F260" s="924">
        <v>0</v>
      </c>
      <c r="G260" s="932">
        <v>0</v>
      </c>
      <c r="H260" s="932">
        <v>0</v>
      </c>
      <c r="I260" s="924">
        <v>0</v>
      </c>
      <c r="J260" s="924">
        <v>0</v>
      </c>
      <c r="K260" s="924">
        <v>0</v>
      </c>
    </row>
    <row r="261" spans="1:11" s="641" customFormat="1" x14ac:dyDescent="0.25">
      <c r="A261" s="94">
        <f t="shared" si="21"/>
        <v>197</v>
      </c>
      <c r="B261" s="606" t="s">
        <v>181</v>
      </c>
      <c r="C261" s="934" t="s">
        <v>1388</v>
      </c>
      <c r="D261" s="932">
        <v>0</v>
      </c>
      <c r="E261" s="924">
        <v>0</v>
      </c>
      <c r="F261" s="924">
        <v>0</v>
      </c>
      <c r="G261" s="932">
        <v>0</v>
      </c>
      <c r="H261" s="932">
        <v>0</v>
      </c>
      <c r="I261" s="924">
        <v>0</v>
      </c>
      <c r="J261" s="924">
        <v>0</v>
      </c>
      <c r="K261" s="924">
        <v>0</v>
      </c>
    </row>
    <row r="262" spans="1:11" s="641" customFormat="1" x14ac:dyDescent="0.25">
      <c r="A262" s="94">
        <f t="shared" si="21"/>
        <v>198</v>
      </c>
      <c r="B262" s="606" t="s">
        <v>182</v>
      </c>
      <c r="C262" s="934" t="s">
        <v>1388</v>
      </c>
      <c r="D262" s="932">
        <v>0</v>
      </c>
      <c r="E262" s="924">
        <v>0</v>
      </c>
      <c r="F262" s="924">
        <v>0</v>
      </c>
      <c r="G262" s="932">
        <v>0</v>
      </c>
      <c r="H262" s="932">
        <v>0</v>
      </c>
      <c r="I262" s="924">
        <v>0</v>
      </c>
      <c r="J262" s="924">
        <v>0</v>
      </c>
      <c r="K262" s="924">
        <v>0</v>
      </c>
    </row>
    <row r="263" spans="1:11" s="641" customFormat="1" x14ac:dyDescent="0.25">
      <c r="A263" s="94">
        <f t="shared" si="21"/>
        <v>199</v>
      </c>
      <c r="B263" s="608" t="s">
        <v>183</v>
      </c>
      <c r="C263" s="934" t="s">
        <v>1388</v>
      </c>
      <c r="D263" s="932">
        <v>0</v>
      </c>
      <c r="E263" s="924">
        <v>0</v>
      </c>
      <c r="F263" s="924">
        <v>0</v>
      </c>
      <c r="G263" s="932">
        <v>0</v>
      </c>
      <c r="H263" s="932">
        <v>0</v>
      </c>
      <c r="I263" s="924">
        <v>0</v>
      </c>
      <c r="J263" s="924">
        <v>0</v>
      </c>
      <c r="K263" s="924">
        <v>0</v>
      </c>
    </row>
    <row r="264" spans="1:11" s="641" customFormat="1" x14ac:dyDescent="0.25">
      <c r="A264" s="94">
        <f t="shared" si="21"/>
        <v>200</v>
      </c>
      <c r="B264" s="608" t="s">
        <v>196</v>
      </c>
      <c r="C264" s="934" t="s">
        <v>1388</v>
      </c>
      <c r="D264" s="932">
        <v>0</v>
      </c>
      <c r="E264" s="924">
        <v>0</v>
      </c>
      <c r="F264" s="924">
        <v>0</v>
      </c>
      <c r="G264" s="932">
        <v>0</v>
      </c>
      <c r="H264" s="932">
        <v>0</v>
      </c>
      <c r="I264" s="924">
        <v>0</v>
      </c>
      <c r="J264" s="924">
        <v>0</v>
      </c>
      <c r="K264" s="924">
        <v>0</v>
      </c>
    </row>
    <row r="265" spans="1:11" s="641" customFormat="1" x14ac:dyDescent="0.25">
      <c r="A265" s="94">
        <f t="shared" si="21"/>
        <v>201</v>
      </c>
      <c r="B265" s="606" t="s">
        <v>184</v>
      </c>
      <c r="C265" s="934" t="s">
        <v>1388</v>
      </c>
      <c r="D265" s="932">
        <v>0</v>
      </c>
      <c r="E265" s="924">
        <v>0</v>
      </c>
      <c r="F265" s="924">
        <v>0</v>
      </c>
      <c r="G265" s="932">
        <v>0</v>
      </c>
      <c r="H265" s="932">
        <v>0</v>
      </c>
      <c r="I265" s="924">
        <v>0</v>
      </c>
      <c r="J265" s="924">
        <v>0</v>
      </c>
      <c r="K265" s="924">
        <v>0</v>
      </c>
    </row>
    <row r="266" spans="1:11" s="641" customFormat="1" x14ac:dyDescent="0.25">
      <c r="A266" s="94">
        <f t="shared" si="21"/>
        <v>202</v>
      </c>
      <c r="B266" s="608" t="s">
        <v>185</v>
      </c>
      <c r="C266" s="934" t="s">
        <v>1388</v>
      </c>
      <c r="D266" s="932">
        <v>0</v>
      </c>
      <c r="E266" s="924">
        <v>0</v>
      </c>
      <c r="F266" s="924">
        <v>0</v>
      </c>
      <c r="G266" s="932">
        <v>0</v>
      </c>
      <c r="H266" s="932">
        <v>0</v>
      </c>
      <c r="I266" s="924">
        <v>0</v>
      </c>
      <c r="J266" s="924">
        <v>0</v>
      </c>
      <c r="K266" s="924">
        <v>0</v>
      </c>
    </row>
    <row r="267" spans="1:11" s="641" customFormat="1" x14ac:dyDescent="0.25">
      <c r="A267" s="94">
        <f t="shared" si="21"/>
        <v>203</v>
      </c>
      <c r="B267" s="608" t="s">
        <v>1475</v>
      </c>
      <c r="C267" s="934" t="s">
        <v>1388</v>
      </c>
      <c r="D267" s="932">
        <v>0</v>
      </c>
      <c r="E267" s="924">
        <v>0</v>
      </c>
      <c r="F267" s="924">
        <v>0</v>
      </c>
      <c r="G267" s="932">
        <v>0</v>
      </c>
      <c r="H267" s="932">
        <v>0</v>
      </c>
      <c r="I267" s="924">
        <v>0</v>
      </c>
      <c r="J267" s="924">
        <v>0</v>
      </c>
      <c r="K267" s="924">
        <v>0</v>
      </c>
    </row>
    <row r="268" spans="1:11" s="641" customFormat="1" x14ac:dyDescent="0.25">
      <c r="A268" s="94">
        <f t="shared" si="21"/>
        <v>204</v>
      </c>
      <c r="B268" s="606" t="s">
        <v>187</v>
      </c>
      <c r="C268" s="934" t="s">
        <v>1388</v>
      </c>
      <c r="D268" s="932">
        <v>0</v>
      </c>
      <c r="E268" s="924">
        <v>0</v>
      </c>
      <c r="F268" s="924">
        <v>0</v>
      </c>
      <c r="G268" s="932">
        <v>0</v>
      </c>
      <c r="H268" s="932">
        <v>0</v>
      </c>
      <c r="I268" s="924">
        <v>0</v>
      </c>
      <c r="J268" s="924">
        <v>0</v>
      </c>
      <c r="K268" s="924">
        <v>0</v>
      </c>
    </row>
    <row r="269" spans="1:11" s="641" customFormat="1" x14ac:dyDescent="0.25">
      <c r="A269" s="94">
        <f t="shared" si="21"/>
        <v>205</v>
      </c>
      <c r="B269" s="608" t="s">
        <v>188</v>
      </c>
      <c r="C269" s="934" t="s">
        <v>1388</v>
      </c>
      <c r="D269" s="932">
        <v>0</v>
      </c>
      <c r="E269" s="924">
        <v>0</v>
      </c>
      <c r="F269" s="924">
        <v>0</v>
      </c>
      <c r="G269" s="932">
        <v>0</v>
      </c>
      <c r="H269" s="932">
        <v>0</v>
      </c>
      <c r="I269" s="924">
        <v>0</v>
      </c>
      <c r="J269" s="924">
        <v>0</v>
      </c>
      <c r="K269" s="924">
        <v>0</v>
      </c>
    </row>
    <row r="270" spans="1:11" s="641" customFormat="1" x14ac:dyDescent="0.25">
      <c r="A270" s="94">
        <f t="shared" si="21"/>
        <v>206</v>
      </c>
      <c r="B270" s="608" t="s">
        <v>189</v>
      </c>
      <c r="C270" s="934" t="s">
        <v>1388</v>
      </c>
      <c r="D270" s="932">
        <v>0</v>
      </c>
      <c r="E270" s="924">
        <v>0</v>
      </c>
      <c r="F270" s="924">
        <v>0</v>
      </c>
      <c r="G270" s="932">
        <v>0</v>
      </c>
      <c r="H270" s="932">
        <v>0</v>
      </c>
      <c r="I270" s="924">
        <v>0</v>
      </c>
      <c r="J270" s="924">
        <v>0</v>
      </c>
      <c r="K270" s="924">
        <v>0</v>
      </c>
    </row>
    <row r="271" spans="1:11" s="641" customFormat="1" x14ac:dyDescent="0.25">
      <c r="A271" s="94">
        <f t="shared" si="21"/>
        <v>207</v>
      </c>
      <c r="B271" s="608" t="s">
        <v>192</v>
      </c>
      <c r="C271" s="934" t="s">
        <v>1388</v>
      </c>
      <c r="D271" s="932">
        <v>0</v>
      </c>
      <c r="E271" s="924">
        <v>0</v>
      </c>
      <c r="F271" s="924">
        <v>0</v>
      </c>
      <c r="G271" s="932">
        <v>0</v>
      </c>
      <c r="H271" s="932">
        <v>0</v>
      </c>
      <c r="I271" s="924">
        <v>0</v>
      </c>
      <c r="J271" s="924">
        <v>0</v>
      </c>
      <c r="K271" s="924">
        <v>0</v>
      </c>
    </row>
    <row r="272" spans="1:11" s="641" customFormat="1" x14ac:dyDescent="0.25">
      <c r="A272" s="94">
        <f t="shared" si="21"/>
        <v>208</v>
      </c>
      <c r="B272" s="608" t="s">
        <v>191</v>
      </c>
      <c r="C272" s="934" t="s">
        <v>1388</v>
      </c>
      <c r="D272" s="932">
        <v>0</v>
      </c>
      <c r="E272" s="924">
        <v>0</v>
      </c>
      <c r="F272" s="924">
        <v>0</v>
      </c>
      <c r="G272" s="932">
        <v>0</v>
      </c>
      <c r="H272" s="932">
        <v>0</v>
      </c>
      <c r="I272" s="924">
        <v>0</v>
      </c>
      <c r="J272" s="924">
        <v>0</v>
      </c>
      <c r="K272" s="924">
        <v>0</v>
      </c>
    </row>
    <row r="273" spans="1:13" s="641" customFormat="1" ht="15" x14ac:dyDescent="0.4">
      <c r="A273" s="94">
        <f t="shared" si="21"/>
        <v>209</v>
      </c>
      <c r="B273" s="608" t="s">
        <v>181</v>
      </c>
      <c r="C273" s="934" t="s">
        <v>1388</v>
      </c>
      <c r="D273" s="932">
        <v>0</v>
      </c>
      <c r="E273" s="924">
        <v>0</v>
      </c>
      <c r="F273" s="924">
        <v>0</v>
      </c>
      <c r="G273" s="932">
        <v>0</v>
      </c>
      <c r="H273" s="932">
        <v>0</v>
      </c>
      <c r="I273" s="924">
        <v>0</v>
      </c>
      <c r="J273" s="924">
        <v>0</v>
      </c>
      <c r="K273" s="925">
        <v>0</v>
      </c>
    </row>
    <row r="274" spans="1:13" s="641" customFormat="1" x14ac:dyDescent="0.25">
      <c r="A274" s="94">
        <f t="shared" si="21"/>
        <v>210</v>
      </c>
      <c r="B274"/>
      <c r="C274" s="640" t="s">
        <v>1626</v>
      </c>
      <c r="D274"/>
      <c r="E274"/>
      <c r="F274"/>
      <c r="G274"/>
      <c r="H274"/>
      <c r="I274"/>
      <c r="J274"/>
      <c r="K274" s="939">
        <v>0</v>
      </c>
    </row>
    <row r="275" spans="1:13" s="641" customFormat="1" ht="12.75" customHeight="1" x14ac:dyDescent="0.25">
      <c r="A275" s="94"/>
      <c r="B275"/>
      <c r="C275" s="640"/>
      <c r="D275"/>
      <c r="E275"/>
      <c r="F275"/>
      <c r="G275"/>
      <c r="H275"/>
      <c r="I275"/>
      <c r="J275"/>
      <c r="K275" s="66"/>
    </row>
    <row r="276" spans="1:13" s="641" customFormat="1" x14ac:dyDescent="0.25">
      <c r="B276" s="642" t="s">
        <v>1966</v>
      </c>
      <c r="D276" s="1175" t="s">
        <v>1967</v>
      </c>
      <c r="E276" s="1175"/>
    </row>
    <row r="277" spans="1:13" s="641" customFormat="1" x14ac:dyDescent="0.25">
      <c r="D277" s="643"/>
      <c r="E277" s="644"/>
      <c r="F277" s="645"/>
      <c r="G277" s="638" t="str">
        <f>G51</f>
        <v>Unloaded</v>
      </c>
      <c r="H277" s="643"/>
      <c r="I277" s="644"/>
      <c r="J277" s="644"/>
      <c r="K277" s="644"/>
    </row>
    <row r="278" spans="1:13" s="641" customFormat="1" x14ac:dyDescent="0.25">
      <c r="A278" s="638"/>
      <c r="B278" s="638"/>
      <c r="C278" s="638"/>
      <c r="D278" s="638" t="str">
        <f>D$52</f>
        <v>Forecast</v>
      </c>
      <c r="E278" s="638" t="str">
        <f t="shared" ref="E278:J278" si="22">E$52</f>
        <v>Corporate</v>
      </c>
      <c r="F278" s="638" t="str">
        <f t="shared" si="22"/>
        <v xml:space="preserve">Total </v>
      </c>
      <c r="G278" s="638" t="str">
        <f>G52</f>
        <v>Total</v>
      </c>
      <c r="H278" s="638" t="str">
        <f t="shared" si="22"/>
        <v>Prior Period</v>
      </c>
      <c r="I278" s="638" t="str">
        <f t="shared" si="22"/>
        <v>Over Heads</v>
      </c>
      <c r="J278" s="638" t="str">
        <f t="shared" si="22"/>
        <v>Forecast</v>
      </c>
      <c r="K278" s="547" t="str">
        <f>K$52</f>
        <v>Forecast Period</v>
      </c>
    </row>
    <row r="279" spans="1:13" s="641" customFormat="1" x14ac:dyDescent="0.25">
      <c r="A279" s="844" t="s">
        <v>332</v>
      </c>
      <c r="B279" s="605" t="s">
        <v>193</v>
      </c>
      <c r="C279" s="605" t="s">
        <v>194</v>
      </c>
      <c r="D279" s="636" t="str">
        <f>D$53</f>
        <v>Expenditures</v>
      </c>
      <c r="E279" s="636" t="str">
        <f t="shared" ref="E279:J279" si="23">E$53</f>
        <v>Overheads</v>
      </c>
      <c r="F279" s="636" t="str">
        <f t="shared" si="23"/>
        <v>CWIP Exp</v>
      </c>
      <c r="G279" s="636" t="str">
        <f>G53</f>
        <v>Plant Adds</v>
      </c>
      <c r="H279" s="636" t="str">
        <f t="shared" si="23"/>
        <v>CWIP Closed</v>
      </c>
      <c r="I279" s="636" t="str">
        <f t="shared" si="23"/>
        <v>Closed to PIS</v>
      </c>
      <c r="J279" s="636" t="str">
        <f t="shared" si="23"/>
        <v>Period CWIP</v>
      </c>
      <c r="K279" s="636" t="str">
        <f>K$53</f>
        <v>Incremental CWIP</v>
      </c>
    </row>
    <row r="280" spans="1:13" s="641" customFormat="1" x14ac:dyDescent="0.25">
      <c r="A280" s="94">
        <f>A274+1</f>
        <v>211</v>
      </c>
      <c r="B280" s="606" t="s">
        <v>181</v>
      </c>
      <c r="C280" s="934" t="s">
        <v>1388</v>
      </c>
      <c r="D280" s="645" t="s">
        <v>77</v>
      </c>
      <c r="E280" s="645" t="s">
        <v>77</v>
      </c>
      <c r="F280" s="645" t="s">
        <v>77</v>
      </c>
      <c r="G280" s="645" t="s">
        <v>77</v>
      </c>
      <c r="H280" s="645" t="s">
        <v>77</v>
      </c>
      <c r="I280" s="645" t="s">
        <v>77</v>
      </c>
      <c r="J280" s="56">
        <f>E45</f>
        <v>0</v>
      </c>
      <c r="K280" s="645" t="s">
        <v>77</v>
      </c>
    </row>
    <row r="281" spans="1:13" s="641" customFormat="1" x14ac:dyDescent="0.25">
      <c r="A281" s="94">
        <f>A280+1</f>
        <v>212</v>
      </c>
      <c r="B281" s="606" t="s">
        <v>182</v>
      </c>
      <c r="C281" s="934" t="s">
        <v>1388</v>
      </c>
      <c r="D281" s="932">
        <v>0</v>
      </c>
      <c r="E281" s="924">
        <v>0</v>
      </c>
      <c r="F281" s="924">
        <v>0</v>
      </c>
      <c r="G281" s="932">
        <v>0</v>
      </c>
      <c r="H281" s="932">
        <v>0</v>
      </c>
      <c r="I281" s="924">
        <v>0</v>
      </c>
      <c r="J281" s="924">
        <v>0</v>
      </c>
      <c r="K281" s="924">
        <v>0</v>
      </c>
    </row>
    <row r="282" spans="1:13" s="641" customFormat="1" x14ac:dyDescent="0.25">
      <c r="A282" s="94">
        <f t="shared" ref="A282:A305" si="24">A281+1</f>
        <v>213</v>
      </c>
      <c r="B282" s="608" t="s">
        <v>183</v>
      </c>
      <c r="C282" s="934" t="s">
        <v>1388</v>
      </c>
      <c r="D282" s="932">
        <v>0</v>
      </c>
      <c r="E282" s="924">
        <v>0</v>
      </c>
      <c r="F282" s="924">
        <v>0</v>
      </c>
      <c r="G282" s="932">
        <v>0</v>
      </c>
      <c r="H282" s="932">
        <v>0</v>
      </c>
      <c r="I282" s="924">
        <v>0</v>
      </c>
      <c r="J282" s="924">
        <v>0</v>
      </c>
      <c r="K282" s="924">
        <v>0</v>
      </c>
    </row>
    <row r="283" spans="1:13" s="641" customFormat="1" x14ac:dyDescent="0.25">
      <c r="A283" s="94">
        <f t="shared" si="24"/>
        <v>214</v>
      </c>
      <c r="B283" s="608" t="s">
        <v>196</v>
      </c>
      <c r="C283" s="934" t="s">
        <v>1388</v>
      </c>
      <c r="D283" s="932">
        <v>0</v>
      </c>
      <c r="E283" s="924">
        <v>0</v>
      </c>
      <c r="F283" s="924">
        <v>0</v>
      </c>
      <c r="G283" s="932">
        <v>0</v>
      </c>
      <c r="H283" s="932">
        <v>0</v>
      </c>
      <c r="I283" s="924">
        <v>0</v>
      </c>
      <c r="J283" s="924">
        <v>0</v>
      </c>
      <c r="K283" s="924">
        <v>0</v>
      </c>
    </row>
    <row r="284" spans="1:13" s="641" customFormat="1" x14ac:dyDescent="0.25">
      <c r="A284" s="94">
        <f t="shared" si="24"/>
        <v>215</v>
      </c>
      <c r="B284" s="606" t="s">
        <v>184</v>
      </c>
      <c r="C284" s="934" t="s">
        <v>1388</v>
      </c>
      <c r="D284" s="932">
        <v>0</v>
      </c>
      <c r="E284" s="924">
        <v>0</v>
      </c>
      <c r="F284" s="924">
        <v>0</v>
      </c>
      <c r="G284" s="932">
        <v>0</v>
      </c>
      <c r="H284" s="932">
        <v>0</v>
      </c>
      <c r="I284" s="924">
        <v>0</v>
      </c>
      <c r="J284" s="924">
        <v>0</v>
      </c>
      <c r="K284" s="924">
        <v>0</v>
      </c>
    </row>
    <row r="285" spans="1:13" s="641" customFormat="1" x14ac:dyDescent="0.25">
      <c r="A285" s="94">
        <f t="shared" si="24"/>
        <v>216</v>
      </c>
      <c r="B285" s="608" t="s">
        <v>185</v>
      </c>
      <c r="C285" s="934" t="s">
        <v>1388</v>
      </c>
      <c r="D285" s="932">
        <v>0</v>
      </c>
      <c r="E285" s="924">
        <v>0</v>
      </c>
      <c r="F285" s="924">
        <v>0</v>
      </c>
      <c r="G285" s="932">
        <v>0</v>
      </c>
      <c r="H285" s="932">
        <v>0</v>
      </c>
      <c r="I285" s="924">
        <v>0</v>
      </c>
      <c r="J285" s="924">
        <v>0</v>
      </c>
      <c r="K285" s="924">
        <v>0</v>
      </c>
      <c r="L285" s="638"/>
      <c r="M285" s="638"/>
    </row>
    <row r="286" spans="1:13" s="641" customFormat="1" x14ac:dyDescent="0.25">
      <c r="A286" s="94">
        <f t="shared" si="24"/>
        <v>217</v>
      </c>
      <c r="B286" s="608" t="s">
        <v>1475</v>
      </c>
      <c r="C286" s="934" t="s">
        <v>1388</v>
      </c>
      <c r="D286" s="932">
        <v>0</v>
      </c>
      <c r="E286" s="924">
        <v>0</v>
      </c>
      <c r="F286" s="924">
        <v>0</v>
      </c>
      <c r="G286" s="932">
        <v>0</v>
      </c>
      <c r="H286" s="932">
        <v>0</v>
      </c>
      <c r="I286" s="924">
        <v>0</v>
      </c>
      <c r="J286" s="924">
        <v>0</v>
      </c>
      <c r="K286" s="924">
        <v>0</v>
      </c>
      <c r="L286" s="636"/>
      <c r="M286" s="636"/>
    </row>
    <row r="287" spans="1:13" s="641" customFormat="1" x14ac:dyDescent="0.25">
      <c r="A287" s="94">
        <f t="shared" si="24"/>
        <v>218</v>
      </c>
      <c r="B287" s="606" t="s">
        <v>187</v>
      </c>
      <c r="C287" s="934" t="s">
        <v>1388</v>
      </c>
      <c r="D287" s="932">
        <v>0</v>
      </c>
      <c r="E287" s="924">
        <v>0</v>
      </c>
      <c r="F287" s="924">
        <v>0</v>
      </c>
      <c r="G287" s="932">
        <v>0</v>
      </c>
      <c r="H287" s="932">
        <v>0</v>
      </c>
      <c r="I287" s="924">
        <v>0</v>
      </c>
      <c r="J287" s="924">
        <v>0</v>
      </c>
      <c r="K287" s="924">
        <v>0</v>
      </c>
    </row>
    <row r="288" spans="1:13" s="641" customFormat="1" x14ac:dyDescent="0.25">
      <c r="A288" s="94">
        <f t="shared" si="24"/>
        <v>219</v>
      </c>
      <c r="B288" s="608" t="s">
        <v>188</v>
      </c>
      <c r="C288" s="934" t="s">
        <v>1388</v>
      </c>
      <c r="D288" s="932">
        <v>0</v>
      </c>
      <c r="E288" s="924">
        <v>0</v>
      </c>
      <c r="F288" s="924">
        <v>0</v>
      </c>
      <c r="G288" s="932">
        <v>0</v>
      </c>
      <c r="H288" s="932">
        <v>0</v>
      </c>
      <c r="I288" s="924">
        <v>0</v>
      </c>
      <c r="J288" s="924">
        <v>0</v>
      </c>
      <c r="K288" s="924">
        <v>0</v>
      </c>
    </row>
    <row r="289" spans="1:11" s="641" customFormat="1" x14ac:dyDescent="0.25">
      <c r="A289" s="94">
        <f t="shared" si="24"/>
        <v>220</v>
      </c>
      <c r="B289" s="608" t="s">
        <v>189</v>
      </c>
      <c r="C289" s="934" t="s">
        <v>1388</v>
      </c>
      <c r="D289" s="932">
        <v>0</v>
      </c>
      <c r="E289" s="924">
        <v>0</v>
      </c>
      <c r="F289" s="924">
        <v>0</v>
      </c>
      <c r="G289" s="932">
        <v>0</v>
      </c>
      <c r="H289" s="932">
        <v>0</v>
      </c>
      <c r="I289" s="924">
        <v>0</v>
      </c>
      <c r="J289" s="924">
        <v>0</v>
      </c>
      <c r="K289" s="924">
        <v>0</v>
      </c>
    </row>
    <row r="290" spans="1:11" s="641" customFormat="1" x14ac:dyDescent="0.25">
      <c r="A290" s="94">
        <f t="shared" si="24"/>
        <v>221</v>
      </c>
      <c r="B290" s="606" t="s">
        <v>192</v>
      </c>
      <c r="C290" s="934" t="s">
        <v>1388</v>
      </c>
      <c r="D290" s="932">
        <v>0</v>
      </c>
      <c r="E290" s="924">
        <v>0</v>
      </c>
      <c r="F290" s="924">
        <v>0</v>
      </c>
      <c r="G290" s="932">
        <v>0</v>
      </c>
      <c r="H290" s="932">
        <v>0</v>
      </c>
      <c r="I290" s="924">
        <v>0</v>
      </c>
      <c r="J290" s="924">
        <v>0</v>
      </c>
      <c r="K290" s="924">
        <v>0</v>
      </c>
    </row>
    <row r="291" spans="1:11" s="641" customFormat="1" x14ac:dyDescent="0.25">
      <c r="A291" s="94">
        <f t="shared" si="24"/>
        <v>222</v>
      </c>
      <c r="B291" s="606" t="s">
        <v>191</v>
      </c>
      <c r="C291" s="934" t="s">
        <v>1388</v>
      </c>
      <c r="D291" s="932">
        <v>0</v>
      </c>
      <c r="E291" s="924">
        <v>0</v>
      </c>
      <c r="F291" s="924">
        <v>0</v>
      </c>
      <c r="G291" s="932">
        <v>0</v>
      </c>
      <c r="H291" s="932">
        <v>0</v>
      </c>
      <c r="I291" s="924">
        <v>0</v>
      </c>
      <c r="J291" s="924">
        <v>0</v>
      </c>
      <c r="K291" s="924">
        <v>0</v>
      </c>
    </row>
    <row r="292" spans="1:11" s="641" customFormat="1" x14ac:dyDescent="0.25">
      <c r="A292" s="94">
        <f t="shared" si="24"/>
        <v>223</v>
      </c>
      <c r="B292" s="606" t="s">
        <v>181</v>
      </c>
      <c r="C292" s="934" t="s">
        <v>1388</v>
      </c>
      <c r="D292" s="932">
        <v>0</v>
      </c>
      <c r="E292" s="924">
        <v>0</v>
      </c>
      <c r="F292" s="924">
        <v>0</v>
      </c>
      <c r="G292" s="932">
        <v>0</v>
      </c>
      <c r="H292" s="932">
        <v>0</v>
      </c>
      <c r="I292" s="924">
        <v>0</v>
      </c>
      <c r="J292" s="924">
        <v>0</v>
      </c>
      <c r="K292" s="924">
        <v>0</v>
      </c>
    </row>
    <row r="293" spans="1:11" s="641" customFormat="1" x14ac:dyDescent="0.25">
      <c r="A293" s="94">
        <f t="shared" si="24"/>
        <v>224</v>
      </c>
      <c r="B293" s="606" t="s">
        <v>182</v>
      </c>
      <c r="C293" s="934" t="s">
        <v>1388</v>
      </c>
      <c r="D293" s="932">
        <v>0</v>
      </c>
      <c r="E293" s="924">
        <v>0</v>
      </c>
      <c r="F293" s="924">
        <v>0</v>
      </c>
      <c r="G293" s="932">
        <v>0</v>
      </c>
      <c r="H293" s="932">
        <v>0</v>
      </c>
      <c r="I293" s="924">
        <v>0</v>
      </c>
      <c r="J293" s="924">
        <v>0</v>
      </c>
      <c r="K293" s="924">
        <v>0</v>
      </c>
    </row>
    <row r="294" spans="1:11" s="641" customFormat="1" x14ac:dyDescent="0.25">
      <c r="A294" s="94">
        <f t="shared" si="24"/>
        <v>225</v>
      </c>
      <c r="B294" s="608" t="s">
        <v>183</v>
      </c>
      <c r="C294" s="934" t="s">
        <v>1388</v>
      </c>
      <c r="D294" s="932">
        <v>0</v>
      </c>
      <c r="E294" s="924">
        <v>0</v>
      </c>
      <c r="F294" s="924">
        <v>0</v>
      </c>
      <c r="G294" s="932">
        <v>0</v>
      </c>
      <c r="H294" s="932">
        <v>0</v>
      </c>
      <c r="I294" s="924">
        <v>0</v>
      </c>
      <c r="J294" s="924">
        <v>0</v>
      </c>
      <c r="K294" s="924">
        <v>0</v>
      </c>
    </row>
    <row r="295" spans="1:11" s="641" customFormat="1" x14ac:dyDescent="0.25">
      <c r="A295" s="94">
        <f t="shared" si="24"/>
        <v>226</v>
      </c>
      <c r="B295" s="608" t="s">
        <v>196</v>
      </c>
      <c r="C295" s="934" t="s">
        <v>1388</v>
      </c>
      <c r="D295" s="932">
        <v>0</v>
      </c>
      <c r="E295" s="924">
        <v>0</v>
      </c>
      <c r="F295" s="924">
        <v>0</v>
      </c>
      <c r="G295" s="932">
        <v>0</v>
      </c>
      <c r="H295" s="932">
        <v>0</v>
      </c>
      <c r="I295" s="924">
        <v>0</v>
      </c>
      <c r="J295" s="924">
        <v>0</v>
      </c>
      <c r="K295" s="924">
        <v>0</v>
      </c>
    </row>
    <row r="296" spans="1:11" s="641" customFormat="1" x14ac:dyDescent="0.25">
      <c r="A296" s="94">
        <f t="shared" si="24"/>
        <v>227</v>
      </c>
      <c r="B296" s="606" t="s">
        <v>184</v>
      </c>
      <c r="C296" s="934" t="s">
        <v>1388</v>
      </c>
      <c r="D296" s="932">
        <v>0</v>
      </c>
      <c r="E296" s="924">
        <v>0</v>
      </c>
      <c r="F296" s="924">
        <v>0</v>
      </c>
      <c r="G296" s="932">
        <v>0</v>
      </c>
      <c r="H296" s="932">
        <v>0</v>
      </c>
      <c r="I296" s="924">
        <v>0</v>
      </c>
      <c r="J296" s="924">
        <v>0</v>
      </c>
      <c r="K296" s="924">
        <v>0</v>
      </c>
    </row>
    <row r="297" spans="1:11" s="641" customFormat="1" x14ac:dyDescent="0.25">
      <c r="A297" s="94">
        <f t="shared" si="24"/>
        <v>228</v>
      </c>
      <c r="B297" s="608" t="s">
        <v>185</v>
      </c>
      <c r="C297" s="934" t="s">
        <v>1388</v>
      </c>
      <c r="D297" s="932">
        <v>0</v>
      </c>
      <c r="E297" s="924">
        <v>0</v>
      </c>
      <c r="F297" s="924">
        <v>0</v>
      </c>
      <c r="G297" s="932">
        <v>0</v>
      </c>
      <c r="H297" s="932">
        <v>0</v>
      </c>
      <c r="I297" s="924">
        <v>0</v>
      </c>
      <c r="J297" s="924">
        <v>0</v>
      </c>
      <c r="K297" s="924">
        <v>0</v>
      </c>
    </row>
    <row r="298" spans="1:11" s="641" customFormat="1" x14ac:dyDescent="0.25">
      <c r="A298" s="94">
        <f t="shared" si="24"/>
        <v>229</v>
      </c>
      <c r="B298" s="608" t="s">
        <v>1475</v>
      </c>
      <c r="C298" s="934" t="s">
        <v>1388</v>
      </c>
      <c r="D298" s="932">
        <v>0</v>
      </c>
      <c r="E298" s="924">
        <v>0</v>
      </c>
      <c r="F298" s="924">
        <v>0</v>
      </c>
      <c r="G298" s="932">
        <v>0</v>
      </c>
      <c r="H298" s="932">
        <v>0</v>
      </c>
      <c r="I298" s="924">
        <v>0</v>
      </c>
      <c r="J298" s="924">
        <v>0</v>
      </c>
      <c r="K298" s="924">
        <v>0</v>
      </c>
    </row>
    <row r="299" spans="1:11" s="641" customFormat="1" x14ac:dyDescent="0.25">
      <c r="A299" s="94">
        <f t="shared" si="24"/>
        <v>230</v>
      </c>
      <c r="B299" s="606" t="s">
        <v>187</v>
      </c>
      <c r="C299" s="934" t="s">
        <v>1388</v>
      </c>
      <c r="D299" s="932">
        <v>0</v>
      </c>
      <c r="E299" s="924">
        <v>0</v>
      </c>
      <c r="F299" s="924">
        <v>0</v>
      </c>
      <c r="G299" s="932">
        <v>0</v>
      </c>
      <c r="H299" s="932">
        <v>0</v>
      </c>
      <c r="I299" s="924">
        <v>0</v>
      </c>
      <c r="J299" s="924">
        <v>0</v>
      </c>
      <c r="K299" s="924">
        <v>0</v>
      </c>
    </row>
    <row r="300" spans="1:11" s="641" customFormat="1" x14ac:dyDescent="0.25">
      <c r="A300" s="94">
        <f t="shared" si="24"/>
        <v>231</v>
      </c>
      <c r="B300" s="608" t="s">
        <v>188</v>
      </c>
      <c r="C300" s="934" t="s">
        <v>1388</v>
      </c>
      <c r="D300" s="932">
        <v>0</v>
      </c>
      <c r="E300" s="924">
        <v>0</v>
      </c>
      <c r="F300" s="924">
        <v>0</v>
      </c>
      <c r="G300" s="932">
        <v>0</v>
      </c>
      <c r="H300" s="932">
        <v>0</v>
      </c>
      <c r="I300" s="924">
        <v>0</v>
      </c>
      <c r="J300" s="924">
        <v>0</v>
      </c>
      <c r="K300" s="924">
        <v>0</v>
      </c>
    </row>
    <row r="301" spans="1:11" s="641" customFormat="1" x14ac:dyDescent="0.25">
      <c r="A301" s="94">
        <f t="shared" si="24"/>
        <v>232</v>
      </c>
      <c r="B301" s="608" t="s">
        <v>189</v>
      </c>
      <c r="C301" s="934" t="s">
        <v>1388</v>
      </c>
      <c r="D301" s="932">
        <v>0</v>
      </c>
      <c r="E301" s="924">
        <v>0</v>
      </c>
      <c r="F301" s="924">
        <v>0</v>
      </c>
      <c r="G301" s="932">
        <v>0</v>
      </c>
      <c r="H301" s="932">
        <v>0</v>
      </c>
      <c r="I301" s="924">
        <v>0</v>
      </c>
      <c r="J301" s="924">
        <v>0</v>
      </c>
      <c r="K301" s="924">
        <v>0</v>
      </c>
    </row>
    <row r="302" spans="1:11" s="641" customFormat="1" x14ac:dyDescent="0.25">
      <c r="A302" s="94">
        <f t="shared" si="24"/>
        <v>233</v>
      </c>
      <c r="B302" s="608" t="s">
        <v>192</v>
      </c>
      <c r="C302" s="934" t="s">
        <v>1388</v>
      </c>
      <c r="D302" s="932">
        <v>0</v>
      </c>
      <c r="E302" s="924">
        <v>0</v>
      </c>
      <c r="F302" s="924">
        <v>0</v>
      </c>
      <c r="G302" s="932">
        <v>0</v>
      </c>
      <c r="H302" s="932">
        <v>0</v>
      </c>
      <c r="I302" s="924">
        <v>0</v>
      </c>
      <c r="J302" s="924">
        <v>0</v>
      </c>
      <c r="K302" s="924">
        <v>0</v>
      </c>
    </row>
    <row r="303" spans="1:11" s="641" customFormat="1" x14ac:dyDescent="0.25">
      <c r="A303" s="94">
        <f t="shared" si="24"/>
        <v>234</v>
      </c>
      <c r="B303" s="608" t="s">
        <v>191</v>
      </c>
      <c r="C303" s="934" t="s">
        <v>1388</v>
      </c>
      <c r="D303" s="932">
        <v>0</v>
      </c>
      <c r="E303" s="924">
        <v>0</v>
      </c>
      <c r="F303" s="924">
        <v>0</v>
      </c>
      <c r="G303" s="932">
        <v>0</v>
      </c>
      <c r="H303" s="932">
        <v>0</v>
      </c>
      <c r="I303" s="924">
        <v>0</v>
      </c>
      <c r="J303" s="924">
        <v>0</v>
      </c>
      <c r="K303" s="924">
        <v>0</v>
      </c>
    </row>
    <row r="304" spans="1:11" s="641" customFormat="1" ht="15" x14ac:dyDescent="0.4">
      <c r="A304" s="94">
        <f t="shared" si="24"/>
        <v>235</v>
      </c>
      <c r="B304" s="608" t="s">
        <v>181</v>
      </c>
      <c r="C304" s="934" t="s">
        <v>1388</v>
      </c>
      <c r="D304" s="932">
        <v>0</v>
      </c>
      <c r="E304" s="924">
        <v>0</v>
      </c>
      <c r="F304" s="924">
        <v>0</v>
      </c>
      <c r="G304" s="932">
        <v>0</v>
      </c>
      <c r="H304" s="932">
        <v>0</v>
      </c>
      <c r="I304" s="924">
        <v>0</v>
      </c>
      <c r="J304" s="924">
        <v>0</v>
      </c>
      <c r="K304" s="925">
        <v>0</v>
      </c>
    </row>
    <row r="305" spans="1:12" s="641" customFormat="1" x14ac:dyDescent="0.25">
      <c r="A305" s="94">
        <f t="shared" si="24"/>
        <v>236</v>
      </c>
      <c r="B305"/>
      <c r="C305" s="640" t="s">
        <v>1626</v>
      </c>
      <c r="D305"/>
      <c r="E305"/>
      <c r="F305"/>
      <c r="G305"/>
      <c r="H305"/>
      <c r="I305"/>
      <c r="J305"/>
      <c r="K305" s="939">
        <v>0</v>
      </c>
    </row>
    <row r="306" spans="1:12" s="641" customFormat="1" x14ac:dyDescent="0.25">
      <c r="A306" s="94"/>
      <c r="B306"/>
      <c r="C306" s="640"/>
      <c r="D306"/>
      <c r="E306"/>
      <c r="F306"/>
      <c r="G306"/>
      <c r="H306"/>
      <c r="I306"/>
      <c r="J306"/>
      <c r="K306" s="66"/>
    </row>
    <row r="307" spans="1:12" s="641" customFormat="1" x14ac:dyDescent="0.25">
      <c r="B307" s="642" t="s">
        <v>1968</v>
      </c>
      <c r="D307" s="1175"/>
      <c r="E307" s="1175"/>
    </row>
    <row r="308" spans="1:12" s="641" customFormat="1" x14ac:dyDescent="0.25">
      <c r="A308" s="636"/>
      <c r="B308" s="636"/>
      <c r="C308" s="636"/>
      <c r="D308" s="636" t="s">
        <v>363</v>
      </c>
      <c r="E308" s="636" t="s">
        <v>347</v>
      </c>
      <c r="F308" s="636" t="s">
        <v>348</v>
      </c>
      <c r="G308" s="636" t="s">
        <v>349</v>
      </c>
      <c r="H308" s="636" t="s">
        <v>350</v>
      </c>
      <c r="I308" s="636" t="s">
        <v>351</v>
      </c>
      <c r="J308" s="636" t="s">
        <v>352</v>
      </c>
      <c r="K308" s="636" t="s">
        <v>541</v>
      </c>
    </row>
    <row r="309" spans="1:12" s="641" customFormat="1" ht="26.4" x14ac:dyDescent="0.25">
      <c r="D309" s="643"/>
      <c r="E309" s="644" t="s">
        <v>2094</v>
      </c>
      <c r="F309" s="645" t="s">
        <v>1955</v>
      </c>
      <c r="G309" s="452"/>
      <c r="H309" s="643"/>
      <c r="I309" s="644" t="s">
        <v>2095</v>
      </c>
      <c r="J309" s="644" t="s">
        <v>1956</v>
      </c>
      <c r="K309" s="644" t="s">
        <v>1957</v>
      </c>
    </row>
    <row r="310" spans="1:12" s="641" customFormat="1" x14ac:dyDescent="0.25">
      <c r="D310" s="643"/>
      <c r="E310" s="643"/>
      <c r="F310" s="643"/>
      <c r="G310" s="547" t="str">
        <f>G51</f>
        <v>Unloaded</v>
      </c>
      <c r="H310" s="643"/>
      <c r="I310" s="643"/>
    </row>
    <row r="311" spans="1:12" s="641" customFormat="1" x14ac:dyDescent="0.25">
      <c r="A311" s="638"/>
      <c r="B311" s="638"/>
      <c r="C311" s="638"/>
      <c r="D311" s="638" t="str">
        <f>D$52</f>
        <v>Forecast</v>
      </c>
      <c r="E311" s="638" t="str">
        <f t="shared" ref="E311:J311" si="25">E$52</f>
        <v>Corporate</v>
      </c>
      <c r="F311" s="638" t="str">
        <f t="shared" si="25"/>
        <v xml:space="preserve">Total </v>
      </c>
      <c r="G311" s="547" t="str">
        <f>G52</f>
        <v>Total</v>
      </c>
      <c r="H311" s="638" t="str">
        <f t="shared" si="25"/>
        <v>Prior Period</v>
      </c>
      <c r="I311" s="638" t="str">
        <f t="shared" si="25"/>
        <v>Over Heads</v>
      </c>
      <c r="J311" s="638" t="str">
        <f t="shared" si="25"/>
        <v>Forecast</v>
      </c>
      <c r="K311" s="547" t="str">
        <f>K$52</f>
        <v>Forecast Period</v>
      </c>
    </row>
    <row r="312" spans="1:12" s="641" customFormat="1" x14ac:dyDescent="0.25">
      <c r="A312" s="844" t="s">
        <v>332</v>
      </c>
      <c r="B312" s="605" t="s">
        <v>193</v>
      </c>
      <c r="C312" s="605" t="s">
        <v>194</v>
      </c>
      <c r="D312" s="636" t="str">
        <f>D$53</f>
        <v>Expenditures</v>
      </c>
      <c r="E312" s="636" t="str">
        <f t="shared" ref="E312:J312" si="26">E$53</f>
        <v>Overheads</v>
      </c>
      <c r="F312" s="636" t="str">
        <f t="shared" si="26"/>
        <v>CWIP Exp</v>
      </c>
      <c r="G312" s="3" t="str">
        <f>G53</f>
        <v>Plant Adds</v>
      </c>
      <c r="H312" s="636" t="str">
        <f t="shared" si="26"/>
        <v>CWIP Closed</v>
      </c>
      <c r="I312" s="636" t="str">
        <f t="shared" si="26"/>
        <v>Closed to PIS</v>
      </c>
      <c r="J312" s="636" t="str">
        <f t="shared" si="26"/>
        <v>Period CWIP</v>
      </c>
      <c r="K312" s="636" t="str">
        <f>K$53</f>
        <v>Incremental CWIP</v>
      </c>
    </row>
    <row r="313" spans="1:12" s="641" customFormat="1" x14ac:dyDescent="0.25">
      <c r="A313" s="94">
        <f>A305+1</f>
        <v>237</v>
      </c>
      <c r="B313" s="606" t="s">
        <v>181</v>
      </c>
      <c r="C313" s="934" t="s">
        <v>1388</v>
      </c>
      <c r="D313" s="645" t="s">
        <v>77</v>
      </c>
      <c r="E313" s="645" t="s">
        <v>77</v>
      </c>
      <c r="F313" s="645" t="s">
        <v>77</v>
      </c>
      <c r="G313" s="645" t="s">
        <v>77</v>
      </c>
      <c r="H313" s="645" t="s">
        <v>77</v>
      </c>
      <c r="I313" s="645" t="s">
        <v>77</v>
      </c>
      <c r="J313" s="56">
        <f>F45</f>
        <v>0</v>
      </c>
      <c r="K313" s="645" t="s">
        <v>77</v>
      </c>
    </row>
    <row r="314" spans="1:12" s="641" customFormat="1" x14ac:dyDescent="0.25">
      <c r="A314" s="94">
        <f>A313+1</f>
        <v>238</v>
      </c>
      <c r="B314" s="606" t="s">
        <v>182</v>
      </c>
      <c r="C314" s="934" t="s">
        <v>1388</v>
      </c>
      <c r="D314" s="932">
        <v>0</v>
      </c>
      <c r="E314" s="924">
        <v>0</v>
      </c>
      <c r="F314" s="924">
        <v>0</v>
      </c>
      <c r="G314" s="932">
        <v>0</v>
      </c>
      <c r="H314" s="932">
        <v>0</v>
      </c>
      <c r="I314" s="924">
        <v>0</v>
      </c>
      <c r="J314" s="924">
        <v>0</v>
      </c>
      <c r="K314" s="924">
        <v>0</v>
      </c>
      <c r="L314" s="638"/>
    </row>
    <row r="315" spans="1:12" s="641" customFormat="1" x14ac:dyDescent="0.25">
      <c r="A315" s="94">
        <f t="shared" ref="A315:A338" si="27">A314+1</f>
        <v>239</v>
      </c>
      <c r="B315" s="608" t="s">
        <v>183</v>
      </c>
      <c r="C315" s="934" t="s">
        <v>1388</v>
      </c>
      <c r="D315" s="932">
        <v>0</v>
      </c>
      <c r="E315" s="924">
        <v>0</v>
      </c>
      <c r="F315" s="924">
        <v>0</v>
      </c>
      <c r="G315" s="932">
        <v>0</v>
      </c>
      <c r="H315" s="932">
        <v>0</v>
      </c>
      <c r="I315" s="924">
        <v>0</v>
      </c>
      <c r="J315" s="924">
        <v>0</v>
      </c>
      <c r="K315" s="924">
        <v>0</v>
      </c>
      <c r="L315" s="638"/>
    </row>
    <row r="316" spans="1:12" s="641" customFormat="1" x14ac:dyDescent="0.25">
      <c r="A316" s="94">
        <f t="shared" si="27"/>
        <v>240</v>
      </c>
      <c r="B316" s="608" t="s">
        <v>196</v>
      </c>
      <c r="C316" s="934" t="s">
        <v>1388</v>
      </c>
      <c r="D316" s="932">
        <v>0</v>
      </c>
      <c r="E316" s="924">
        <v>0</v>
      </c>
      <c r="F316" s="924">
        <v>0</v>
      </c>
      <c r="G316" s="932">
        <v>0</v>
      </c>
      <c r="H316" s="932">
        <v>0</v>
      </c>
      <c r="I316" s="924">
        <v>0</v>
      </c>
      <c r="J316" s="924">
        <v>0</v>
      </c>
      <c r="K316" s="924">
        <v>0</v>
      </c>
      <c r="L316" s="638"/>
    </row>
    <row r="317" spans="1:12" s="641" customFormat="1" x14ac:dyDescent="0.25">
      <c r="A317" s="94">
        <f t="shared" si="27"/>
        <v>241</v>
      </c>
      <c r="B317" s="606" t="s">
        <v>184</v>
      </c>
      <c r="C317" s="934" t="s">
        <v>1388</v>
      </c>
      <c r="D317" s="932">
        <v>0</v>
      </c>
      <c r="E317" s="924">
        <v>0</v>
      </c>
      <c r="F317" s="924">
        <v>0</v>
      </c>
      <c r="G317" s="932">
        <v>0</v>
      </c>
      <c r="H317" s="932">
        <v>0</v>
      </c>
      <c r="I317" s="924">
        <v>0</v>
      </c>
      <c r="J317" s="924">
        <v>0</v>
      </c>
      <c r="K317" s="924">
        <v>0</v>
      </c>
      <c r="L317" s="636"/>
    </row>
    <row r="318" spans="1:12" s="641" customFormat="1" x14ac:dyDescent="0.25">
      <c r="A318" s="94">
        <f t="shared" si="27"/>
        <v>242</v>
      </c>
      <c r="B318" s="608" t="s">
        <v>185</v>
      </c>
      <c r="C318" s="934" t="s">
        <v>1388</v>
      </c>
      <c r="D318" s="932">
        <v>0</v>
      </c>
      <c r="E318" s="924">
        <v>0</v>
      </c>
      <c r="F318" s="924">
        <v>0</v>
      </c>
      <c r="G318" s="932">
        <v>0</v>
      </c>
      <c r="H318" s="932">
        <v>0</v>
      </c>
      <c r="I318" s="924">
        <v>0</v>
      </c>
      <c r="J318" s="924">
        <v>0</v>
      </c>
      <c r="K318" s="924">
        <v>0</v>
      </c>
    </row>
    <row r="319" spans="1:12" s="641" customFormat="1" x14ac:dyDescent="0.25">
      <c r="A319" s="94">
        <f t="shared" si="27"/>
        <v>243</v>
      </c>
      <c r="B319" s="608" t="s">
        <v>1475</v>
      </c>
      <c r="C319" s="934" t="s">
        <v>1388</v>
      </c>
      <c r="D319" s="932">
        <v>0</v>
      </c>
      <c r="E319" s="924">
        <v>0</v>
      </c>
      <c r="F319" s="924">
        <v>0</v>
      </c>
      <c r="G319" s="932">
        <v>0</v>
      </c>
      <c r="H319" s="932">
        <v>0</v>
      </c>
      <c r="I319" s="924">
        <v>0</v>
      </c>
      <c r="J319" s="924">
        <v>0</v>
      </c>
      <c r="K319" s="924">
        <v>0</v>
      </c>
    </row>
    <row r="320" spans="1:12" s="641" customFormat="1" x14ac:dyDescent="0.25">
      <c r="A320" s="94">
        <f t="shared" si="27"/>
        <v>244</v>
      </c>
      <c r="B320" s="606" t="s">
        <v>187</v>
      </c>
      <c r="C320" s="934" t="s">
        <v>1388</v>
      </c>
      <c r="D320" s="932">
        <v>0</v>
      </c>
      <c r="E320" s="924">
        <v>0</v>
      </c>
      <c r="F320" s="924">
        <v>0</v>
      </c>
      <c r="G320" s="932">
        <v>0</v>
      </c>
      <c r="H320" s="932">
        <v>0</v>
      </c>
      <c r="I320" s="924">
        <v>0</v>
      </c>
      <c r="J320" s="924">
        <v>0</v>
      </c>
      <c r="K320" s="924">
        <v>0</v>
      </c>
    </row>
    <row r="321" spans="1:11" s="641" customFormat="1" x14ac:dyDescent="0.25">
      <c r="A321" s="94">
        <f t="shared" si="27"/>
        <v>245</v>
      </c>
      <c r="B321" s="608" t="s">
        <v>188</v>
      </c>
      <c r="C321" s="934" t="s">
        <v>1388</v>
      </c>
      <c r="D321" s="932">
        <v>0</v>
      </c>
      <c r="E321" s="924">
        <v>0</v>
      </c>
      <c r="F321" s="924">
        <v>0</v>
      </c>
      <c r="G321" s="932">
        <v>0</v>
      </c>
      <c r="H321" s="932">
        <v>0</v>
      </c>
      <c r="I321" s="924">
        <v>0</v>
      </c>
      <c r="J321" s="924">
        <v>0</v>
      </c>
      <c r="K321" s="924">
        <v>0</v>
      </c>
    </row>
    <row r="322" spans="1:11" s="641" customFormat="1" x14ac:dyDescent="0.25">
      <c r="A322" s="94">
        <f t="shared" si="27"/>
        <v>246</v>
      </c>
      <c r="B322" s="608" t="s">
        <v>189</v>
      </c>
      <c r="C322" s="934" t="s">
        <v>1388</v>
      </c>
      <c r="D322" s="932">
        <v>0</v>
      </c>
      <c r="E322" s="924">
        <v>0</v>
      </c>
      <c r="F322" s="924">
        <v>0</v>
      </c>
      <c r="G322" s="932">
        <v>0</v>
      </c>
      <c r="H322" s="932">
        <v>0</v>
      </c>
      <c r="I322" s="924">
        <v>0</v>
      </c>
      <c r="J322" s="924">
        <v>0</v>
      </c>
      <c r="K322" s="924">
        <v>0</v>
      </c>
    </row>
    <row r="323" spans="1:11" s="641" customFormat="1" x14ac:dyDescent="0.25">
      <c r="A323" s="94">
        <f t="shared" si="27"/>
        <v>247</v>
      </c>
      <c r="B323" s="606" t="s">
        <v>192</v>
      </c>
      <c r="C323" s="934" t="s">
        <v>1388</v>
      </c>
      <c r="D323" s="932">
        <v>0</v>
      </c>
      <c r="E323" s="924">
        <v>0</v>
      </c>
      <c r="F323" s="924">
        <v>0</v>
      </c>
      <c r="G323" s="932">
        <v>0</v>
      </c>
      <c r="H323" s="932">
        <v>0</v>
      </c>
      <c r="I323" s="924">
        <v>0</v>
      </c>
      <c r="J323" s="924">
        <v>0</v>
      </c>
      <c r="K323" s="924">
        <v>0</v>
      </c>
    </row>
    <row r="324" spans="1:11" s="641" customFormat="1" x14ac:dyDescent="0.25">
      <c r="A324" s="94">
        <f t="shared" si="27"/>
        <v>248</v>
      </c>
      <c r="B324" s="606" t="s">
        <v>191</v>
      </c>
      <c r="C324" s="934" t="s">
        <v>1388</v>
      </c>
      <c r="D324" s="932">
        <v>0</v>
      </c>
      <c r="E324" s="924">
        <v>0</v>
      </c>
      <c r="F324" s="924">
        <v>0</v>
      </c>
      <c r="G324" s="932">
        <v>0</v>
      </c>
      <c r="H324" s="932">
        <v>0</v>
      </c>
      <c r="I324" s="924">
        <v>0</v>
      </c>
      <c r="J324" s="924">
        <v>0</v>
      </c>
      <c r="K324" s="924">
        <v>0</v>
      </c>
    </row>
    <row r="325" spans="1:11" s="641" customFormat="1" x14ac:dyDescent="0.25">
      <c r="A325" s="94">
        <f t="shared" si="27"/>
        <v>249</v>
      </c>
      <c r="B325" s="606" t="s">
        <v>181</v>
      </c>
      <c r="C325" s="934" t="s">
        <v>1388</v>
      </c>
      <c r="D325" s="932">
        <v>0</v>
      </c>
      <c r="E325" s="924">
        <v>0</v>
      </c>
      <c r="F325" s="924">
        <v>0</v>
      </c>
      <c r="G325" s="932">
        <v>0</v>
      </c>
      <c r="H325" s="932">
        <v>0</v>
      </c>
      <c r="I325" s="924">
        <v>0</v>
      </c>
      <c r="J325" s="924">
        <v>0</v>
      </c>
      <c r="K325" s="924">
        <v>0</v>
      </c>
    </row>
    <row r="326" spans="1:11" s="641" customFormat="1" x14ac:dyDescent="0.25">
      <c r="A326" s="94">
        <f t="shared" si="27"/>
        <v>250</v>
      </c>
      <c r="B326" s="606" t="s">
        <v>182</v>
      </c>
      <c r="C326" s="934" t="s">
        <v>1388</v>
      </c>
      <c r="D326" s="932">
        <v>0</v>
      </c>
      <c r="E326" s="924">
        <v>0</v>
      </c>
      <c r="F326" s="924">
        <v>0</v>
      </c>
      <c r="G326" s="932">
        <v>0</v>
      </c>
      <c r="H326" s="932">
        <v>0</v>
      </c>
      <c r="I326" s="924">
        <v>0</v>
      </c>
      <c r="J326" s="924">
        <v>0</v>
      </c>
      <c r="K326" s="924">
        <v>0</v>
      </c>
    </row>
    <row r="327" spans="1:11" s="641" customFormat="1" x14ac:dyDescent="0.25">
      <c r="A327" s="94">
        <f t="shared" si="27"/>
        <v>251</v>
      </c>
      <c r="B327" s="608" t="s">
        <v>183</v>
      </c>
      <c r="C327" s="934" t="s">
        <v>1388</v>
      </c>
      <c r="D327" s="932">
        <v>0</v>
      </c>
      <c r="E327" s="924">
        <v>0</v>
      </c>
      <c r="F327" s="924">
        <v>0</v>
      </c>
      <c r="G327" s="932">
        <v>0</v>
      </c>
      <c r="H327" s="932">
        <v>0</v>
      </c>
      <c r="I327" s="924">
        <v>0</v>
      </c>
      <c r="J327" s="924">
        <v>0</v>
      </c>
      <c r="K327" s="924">
        <v>0</v>
      </c>
    </row>
    <row r="328" spans="1:11" s="641" customFormat="1" x14ac:dyDescent="0.25">
      <c r="A328" s="94">
        <f t="shared" si="27"/>
        <v>252</v>
      </c>
      <c r="B328" s="608" t="s">
        <v>196</v>
      </c>
      <c r="C328" s="934" t="s">
        <v>1388</v>
      </c>
      <c r="D328" s="932">
        <v>0</v>
      </c>
      <c r="E328" s="924">
        <v>0</v>
      </c>
      <c r="F328" s="924">
        <v>0</v>
      </c>
      <c r="G328" s="932">
        <v>0</v>
      </c>
      <c r="H328" s="932">
        <v>0</v>
      </c>
      <c r="I328" s="924">
        <v>0</v>
      </c>
      <c r="J328" s="924">
        <v>0</v>
      </c>
      <c r="K328" s="924">
        <v>0</v>
      </c>
    </row>
    <row r="329" spans="1:11" s="641" customFormat="1" x14ac:dyDescent="0.25">
      <c r="A329" s="94">
        <f t="shared" si="27"/>
        <v>253</v>
      </c>
      <c r="B329" s="606" t="s">
        <v>184</v>
      </c>
      <c r="C329" s="934" t="s">
        <v>1388</v>
      </c>
      <c r="D329" s="932">
        <v>0</v>
      </c>
      <c r="E329" s="924">
        <v>0</v>
      </c>
      <c r="F329" s="924">
        <v>0</v>
      </c>
      <c r="G329" s="932">
        <v>0</v>
      </c>
      <c r="H329" s="932">
        <v>0</v>
      </c>
      <c r="I329" s="924">
        <v>0</v>
      </c>
      <c r="J329" s="924">
        <v>0</v>
      </c>
      <c r="K329" s="924">
        <v>0</v>
      </c>
    </row>
    <row r="330" spans="1:11" s="641" customFormat="1" x14ac:dyDescent="0.25">
      <c r="A330" s="94">
        <f t="shared" si="27"/>
        <v>254</v>
      </c>
      <c r="B330" s="608" t="s">
        <v>185</v>
      </c>
      <c r="C330" s="934" t="s">
        <v>1388</v>
      </c>
      <c r="D330" s="932">
        <v>0</v>
      </c>
      <c r="E330" s="924">
        <v>0</v>
      </c>
      <c r="F330" s="924">
        <v>0</v>
      </c>
      <c r="G330" s="932">
        <v>0</v>
      </c>
      <c r="H330" s="932">
        <v>0</v>
      </c>
      <c r="I330" s="924">
        <v>0</v>
      </c>
      <c r="J330" s="924">
        <v>0</v>
      </c>
      <c r="K330" s="924">
        <v>0</v>
      </c>
    </row>
    <row r="331" spans="1:11" s="641" customFormat="1" x14ac:dyDescent="0.25">
      <c r="A331" s="94">
        <f t="shared" si="27"/>
        <v>255</v>
      </c>
      <c r="B331" s="608" t="s">
        <v>1475</v>
      </c>
      <c r="C331" s="934" t="s">
        <v>1388</v>
      </c>
      <c r="D331" s="932">
        <v>0</v>
      </c>
      <c r="E331" s="924">
        <v>0</v>
      </c>
      <c r="F331" s="924">
        <v>0</v>
      </c>
      <c r="G331" s="932">
        <v>0</v>
      </c>
      <c r="H331" s="932">
        <v>0</v>
      </c>
      <c r="I331" s="924">
        <v>0</v>
      </c>
      <c r="J331" s="924">
        <v>0</v>
      </c>
      <c r="K331" s="924">
        <v>0</v>
      </c>
    </row>
    <row r="332" spans="1:11" s="641" customFormat="1" x14ac:dyDescent="0.25">
      <c r="A332" s="94">
        <f t="shared" si="27"/>
        <v>256</v>
      </c>
      <c r="B332" s="606" t="s">
        <v>187</v>
      </c>
      <c r="C332" s="934" t="s">
        <v>1388</v>
      </c>
      <c r="D332" s="932">
        <v>0</v>
      </c>
      <c r="E332" s="924">
        <v>0</v>
      </c>
      <c r="F332" s="924">
        <v>0</v>
      </c>
      <c r="G332" s="932">
        <v>0</v>
      </c>
      <c r="H332" s="932">
        <v>0</v>
      </c>
      <c r="I332" s="924">
        <v>0</v>
      </c>
      <c r="J332" s="924">
        <v>0</v>
      </c>
      <c r="K332" s="924">
        <v>0</v>
      </c>
    </row>
    <row r="333" spans="1:11" s="641" customFormat="1" x14ac:dyDescent="0.25">
      <c r="A333" s="94">
        <f t="shared" si="27"/>
        <v>257</v>
      </c>
      <c r="B333" s="608" t="s">
        <v>188</v>
      </c>
      <c r="C333" s="934" t="s">
        <v>1388</v>
      </c>
      <c r="D333" s="932">
        <v>0</v>
      </c>
      <c r="E333" s="924">
        <v>0</v>
      </c>
      <c r="F333" s="924">
        <v>0</v>
      </c>
      <c r="G333" s="932">
        <v>0</v>
      </c>
      <c r="H333" s="932">
        <v>0</v>
      </c>
      <c r="I333" s="924">
        <v>0</v>
      </c>
      <c r="J333" s="924">
        <v>0</v>
      </c>
      <c r="K333" s="924">
        <v>0</v>
      </c>
    </row>
    <row r="334" spans="1:11" s="641" customFormat="1" x14ac:dyDescent="0.25">
      <c r="A334" s="94">
        <f t="shared" si="27"/>
        <v>258</v>
      </c>
      <c r="B334" s="608" t="s">
        <v>189</v>
      </c>
      <c r="C334" s="934" t="s">
        <v>1388</v>
      </c>
      <c r="D334" s="932">
        <v>0</v>
      </c>
      <c r="E334" s="924">
        <v>0</v>
      </c>
      <c r="F334" s="924">
        <v>0</v>
      </c>
      <c r="G334" s="932">
        <v>0</v>
      </c>
      <c r="H334" s="932">
        <v>0</v>
      </c>
      <c r="I334" s="924">
        <v>0</v>
      </c>
      <c r="J334" s="924">
        <v>0</v>
      </c>
      <c r="K334" s="924">
        <v>0</v>
      </c>
    </row>
    <row r="335" spans="1:11" s="641" customFormat="1" x14ac:dyDescent="0.25">
      <c r="A335" s="94">
        <f t="shared" si="27"/>
        <v>259</v>
      </c>
      <c r="B335" s="608" t="s">
        <v>192</v>
      </c>
      <c r="C335" s="934" t="s">
        <v>1388</v>
      </c>
      <c r="D335" s="932">
        <v>0</v>
      </c>
      <c r="E335" s="924">
        <v>0</v>
      </c>
      <c r="F335" s="924">
        <v>0</v>
      </c>
      <c r="G335" s="932">
        <v>0</v>
      </c>
      <c r="H335" s="932">
        <v>0</v>
      </c>
      <c r="I335" s="924">
        <v>0</v>
      </c>
      <c r="J335" s="924">
        <v>0</v>
      </c>
      <c r="K335" s="924">
        <v>0</v>
      </c>
    </row>
    <row r="336" spans="1:11" s="641" customFormat="1" x14ac:dyDescent="0.25">
      <c r="A336" s="94">
        <f t="shared" si="27"/>
        <v>260</v>
      </c>
      <c r="B336" s="608" t="s">
        <v>191</v>
      </c>
      <c r="C336" s="934" t="s">
        <v>1388</v>
      </c>
      <c r="D336" s="932">
        <v>0</v>
      </c>
      <c r="E336" s="924">
        <v>0</v>
      </c>
      <c r="F336" s="924">
        <v>0</v>
      </c>
      <c r="G336" s="932">
        <v>0</v>
      </c>
      <c r="H336" s="932">
        <v>0</v>
      </c>
      <c r="I336" s="924">
        <v>0</v>
      </c>
      <c r="J336" s="924">
        <v>0</v>
      </c>
      <c r="K336" s="924">
        <v>0</v>
      </c>
    </row>
    <row r="337" spans="1:11" s="641" customFormat="1" ht="15" x14ac:dyDescent="0.4">
      <c r="A337" s="94">
        <f t="shared" si="27"/>
        <v>261</v>
      </c>
      <c r="B337" s="608" t="s">
        <v>181</v>
      </c>
      <c r="C337" s="934" t="s">
        <v>1388</v>
      </c>
      <c r="D337" s="932">
        <v>0</v>
      </c>
      <c r="E337" s="924">
        <v>0</v>
      </c>
      <c r="F337" s="924">
        <v>0</v>
      </c>
      <c r="G337" s="932">
        <v>0</v>
      </c>
      <c r="H337" s="932">
        <v>0</v>
      </c>
      <c r="I337" s="924">
        <v>0</v>
      </c>
      <c r="J337" s="924">
        <v>0</v>
      </c>
      <c r="K337" s="925">
        <v>0</v>
      </c>
    </row>
    <row r="338" spans="1:11" s="641" customFormat="1" x14ac:dyDescent="0.25">
      <c r="A338" s="94">
        <f t="shared" si="27"/>
        <v>262</v>
      </c>
      <c r="B338"/>
      <c r="C338" s="640" t="s">
        <v>1626</v>
      </c>
      <c r="D338"/>
      <c r="E338"/>
      <c r="F338"/>
      <c r="G338"/>
      <c r="H338"/>
      <c r="I338"/>
      <c r="J338"/>
      <c r="K338" s="939">
        <v>0</v>
      </c>
    </row>
    <row r="339" spans="1:11" s="641" customFormat="1" x14ac:dyDescent="0.25">
      <c r="A339" s="94"/>
      <c r="B339"/>
      <c r="C339" s="640"/>
      <c r="D339"/>
      <c r="E339"/>
      <c r="F339"/>
      <c r="G339"/>
      <c r="H339"/>
      <c r="I339"/>
      <c r="J339"/>
      <c r="K339" s="66"/>
    </row>
    <row r="340" spans="1:11" s="641" customFormat="1" x14ac:dyDescent="0.25">
      <c r="B340" s="642" t="s">
        <v>1970</v>
      </c>
      <c r="D340" s="1175"/>
      <c r="E340" s="1175"/>
    </row>
    <row r="341" spans="1:11" s="641" customFormat="1" x14ac:dyDescent="0.25">
      <c r="D341" s="643"/>
      <c r="E341" s="643"/>
      <c r="F341" s="643"/>
      <c r="G341" s="547" t="str">
        <f>G51</f>
        <v>Unloaded</v>
      </c>
      <c r="H341" s="643"/>
      <c r="I341" s="643"/>
    </row>
    <row r="342" spans="1:11" s="641" customFormat="1" x14ac:dyDescent="0.25">
      <c r="A342" s="638"/>
      <c r="B342" s="638"/>
      <c r="C342" s="638"/>
      <c r="D342" s="638" t="str">
        <f>D$52</f>
        <v>Forecast</v>
      </c>
      <c r="E342" s="638" t="str">
        <f t="shared" ref="E342:J342" si="28">E$52</f>
        <v>Corporate</v>
      </c>
      <c r="F342" s="638" t="str">
        <f t="shared" si="28"/>
        <v xml:space="preserve">Total </v>
      </c>
      <c r="G342" s="547" t="str">
        <f>G52</f>
        <v>Total</v>
      </c>
      <c r="H342" s="638" t="str">
        <f t="shared" si="28"/>
        <v>Prior Period</v>
      </c>
      <c r="I342" s="638" t="str">
        <f t="shared" si="28"/>
        <v>Over Heads</v>
      </c>
      <c r="J342" s="638" t="str">
        <f t="shared" si="28"/>
        <v>Forecast</v>
      </c>
      <c r="K342" s="547" t="str">
        <f>K$52</f>
        <v>Forecast Period</v>
      </c>
    </row>
    <row r="343" spans="1:11" s="641" customFormat="1" x14ac:dyDescent="0.25">
      <c r="A343" s="844" t="s">
        <v>332</v>
      </c>
      <c r="B343" s="605" t="s">
        <v>193</v>
      </c>
      <c r="C343" s="605" t="s">
        <v>194</v>
      </c>
      <c r="D343" s="636" t="str">
        <f>D$53</f>
        <v>Expenditures</v>
      </c>
      <c r="E343" s="636" t="str">
        <f t="shared" ref="E343:J343" si="29">E$53</f>
        <v>Overheads</v>
      </c>
      <c r="F343" s="636" t="str">
        <f t="shared" si="29"/>
        <v>CWIP Exp</v>
      </c>
      <c r="G343" s="3" t="str">
        <f>G53</f>
        <v>Plant Adds</v>
      </c>
      <c r="H343" s="636" t="str">
        <f t="shared" si="29"/>
        <v>CWIP Closed</v>
      </c>
      <c r="I343" s="636" t="str">
        <f t="shared" si="29"/>
        <v>Closed to PIS</v>
      </c>
      <c r="J343" s="636" t="str">
        <f t="shared" si="29"/>
        <v>Period CWIP</v>
      </c>
      <c r="K343" s="636" t="str">
        <f>K$53</f>
        <v>Incremental CWIP</v>
      </c>
    </row>
    <row r="344" spans="1:11" s="641" customFormat="1" x14ac:dyDescent="0.25">
      <c r="A344" s="94">
        <f>A338+1</f>
        <v>263</v>
      </c>
      <c r="B344" s="606" t="s">
        <v>181</v>
      </c>
      <c r="C344" s="934" t="s">
        <v>1388</v>
      </c>
      <c r="D344" s="645" t="s">
        <v>77</v>
      </c>
      <c r="E344" s="645" t="s">
        <v>77</v>
      </c>
      <c r="F344" s="645" t="s">
        <v>77</v>
      </c>
      <c r="G344" s="645" t="s">
        <v>77</v>
      </c>
      <c r="H344" s="645" t="s">
        <v>77</v>
      </c>
      <c r="I344" s="645" t="s">
        <v>77</v>
      </c>
      <c r="J344" s="56">
        <f>G45</f>
        <v>0</v>
      </c>
      <c r="K344" s="645" t="s">
        <v>77</v>
      </c>
    </row>
    <row r="345" spans="1:11" s="641" customFormat="1" x14ac:dyDescent="0.25">
      <c r="A345" s="94">
        <f>A344+1</f>
        <v>264</v>
      </c>
      <c r="B345" s="606" t="s">
        <v>182</v>
      </c>
      <c r="C345" s="934" t="s">
        <v>1388</v>
      </c>
      <c r="D345" s="932">
        <v>0</v>
      </c>
      <c r="E345" s="924">
        <v>0</v>
      </c>
      <c r="F345" s="924">
        <v>0</v>
      </c>
      <c r="G345" s="932">
        <v>0</v>
      </c>
      <c r="H345" s="932">
        <v>0</v>
      </c>
      <c r="I345" s="924">
        <v>0</v>
      </c>
      <c r="J345" s="924">
        <v>0</v>
      </c>
      <c r="K345" s="924">
        <v>0</v>
      </c>
    </row>
    <row r="346" spans="1:11" s="641" customFormat="1" x14ac:dyDescent="0.25">
      <c r="A346" s="94">
        <f t="shared" ref="A346:A369" si="30">A345+1</f>
        <v>265</v>
      </c>
      <c r="B346" s="608" t="s">
        <v>183</v>
      </c>
      <c r="C346" s="934" t="s">
        <v>1388</v>
      </c>
      <c r="D346" s="932">
        <v>0</v>
      </c>
      <c r="E346" s="924">
        <v>0</v>
      </c>
      <c r="F346" s="924">
        <v>0</v>
      </c>
      <c r="G346" s="932">
        <v>0</v>
      </c>
      <c r="H346" s="932">
        <v>0</v>
      </c>
      <c r="I346" s="924">
        <v>0</v>
      </c>
      <c r="J346" s="924">
        <v>0</v>
      </c>
      <c r="K346" s="924">
        <v>0</v>
      </c>
    </row>
    <row r="347" spans="1:11" s="641" customFormat="1" x14ac:dyDescent="0.25">
      <c r="A347" s="94">
        <f t="shared" si="30"/>
        <v>266</v>
      </c>
      <c r="B347" s="608" t="s">
        <v>196</v>
      </c>
      <c r="C347" s="934" t="s">
        <v>1388</v>
      </c>
      <c r="D347" s="932">
        <v>0</v>
      </c>
      <c r="E347" s="924">
        <v>0</v>
      </c>
      <c r="F347" s="924">
        <v>0</v>
      </c>
      <c r="G347" s="932">
        <v>0</v>
      </c>
      <c r="H347" s="932">
        <v>0</v>
      </c>
      <c r="I347" s="924">
        <v>0</v>
      </c>
      <c r="J347" s="924">
        <v>0</v>
      </c>
      <c r="K347" s="924">
        <v>0</v>
      </c>
    </row>
    <row r="348" spans="1:11" s="641" customFormat="1" x14ac:dyDescent="0.25">
      <c r="A348" s="94">
        <f t="shared" si="30"/>
        <v>267</v>
      </c>
      <c r="B348" s="606" t="s">
        <v>184</v>
      </c>
      <c r="C348" s="934" t="s">
        <v>1388</v>
      </c>
      <c r="D348" s="932">
        <v>0</v>
      </c>
      <c r="E348" s="924">
        <v>0</v>
      </c>
      <c r="F348" s="924">
        <v>0</v>
      </c>
      <c r="G348" s="932">
        <v>0</v>
      </c>
      <c r="H348" s="932">
        <v>0</v>
      </c>
      <c r="I348" s="924">
        <v>0</v>
      </c>
      <c r="J348" s="924">
        <v>0</v>
      </c>
      <c r="K348" s="924">
        <v>0</v>
      </c>
    </row>
    <row r="349" spans="1:11" s="641" customFormat="1" x14ac:dyDescent="0.25">
      <c r="A349" s="94">
        <f t="shared" si="30"/>
        <v>268</v>
      </c>
      <c r="B349" s="608" t="s">
        <v>185</v>
      </c>
      <c r="C349" s="934" t="s">
        <v>1388</v>
      </c>
      <c r="D349" s="932">
        <v>0</v>
      </c>
      <c r="E349" s="924">
        <v>0</v>
      </c>
      <c r="F349" s="924">
        <v>0</v>
      </c>
      <c r="G349" s="932">
        <v>0</v>
      </c>
      <c r="H349" s="932">
        <v>0</v>
      </c>
      <c r="I349" s="924">
        <v>0</v>
      </c>
      <c r="J349" s="924">
        <v>0</v>
      </c>
      <c r="K349" s="924">
        <v>0</v>
      </c>
    </row>
    <row r="350" spans="1:11" s="641" customFormat="1" x14ac:dyDescent="0.25">
      <c r="A350" s="94">
        <f t="shared" si="30"/>
        <v>269</v>
      </c>
      <c r="B350" s="608" t="s">
        <v>1475</v>
      </c>
      <c r="C350" s="934" t="s">
        <v>1388</v>
      </c>
      <c r="D350" s="932">
        <v>0</v>
      </c>
      <c r="E350" s="924">
        <v>0</v>
      </c>
      <c r="F350" s="924">
        <v>0</v>
      </c>
      <c r="G350" s="932">
        <v>0</v>
      </c>
      <c r="H350" s="932">
        <v>0</v>
      </c>
      <c r="I350" s="924">
        <v>0</v>
      </c>
      <c r="J350" s="924">
        <v>0</v>
      </c>
      <c r="K350" s="924">
        <v>0</v>
      </c>
    </row>
    <row r="351" spans="1:11" s="641" customFormat="1" x14ac:dyDescent="0.25">
      <c r="A351" s="94">
        <f t="shared" si="30"/>
        <v>270</v>
      </c>
      <c r="B351" s="606" t="s">
        <v>187</v>
      </c>
      <c r="C351" s="934" t="s">
        <v>1388</v>
      </c>
      <c r="D351" s="932">
        <v>0</v>
      </c>
      <c r="E351" s="924">
        <v>0</v>
      </c>
      <c r="F351" s="924">
        <v>0</v>
      </c>
      <c r="G351" s="932">
        <v>0</v>
      </c>
      <c r="H351" s="932">
        <v>0</v>
      </c>
      <c r="I351" s="924">
        <v>0</v>
      </c>
      <c r="J351" s="924">
        <v>0</v>
      </c>
      <c r="K351" s="924">
        <v>0</v>
      </c>
    </row>
    <row r="352" spans="1:11" s="641" customFormat="1" x14ac:dyDescent="0.25">
      <c r="A352" s="94">
        <f t="shared" si="30"/>
        <v>271</v>
      </c>
      <c r="B352" s="608" t="s">
        <v>188</v>
      </c>
      <c r="C352" s="934" t="s">
        <v>1388</v>
      </c>
      <c r="D352" s="932">
        <v>0</v>
      </c>
      <c r="E352" s="924">
        <v>0</v>
      </c>
      <c r="F352" s="924">
        <v>0</v>
      </c>
      <c r="G352" s="932">
        <v>0</v>
      </c>
      <c r="H352" s="932">
        <v>0</v>
      </c>
      <c r="I352" s="924">
        <v>0</v>
      </c>
      <c r="J352" s="924">
        <v>0</v>
      </c>
      <c r="K352" s="924">
        <v>0</v>
      </c>
    </row>
    <row r="353" spans="1:11" s="641" customFormat="1" x14ac:dyDescent="0.25">
      <c r="A353" s="94">
        <f t="shared" si="30"/>
        <v>272</v>
      </c>
      <c r="B353" s="608" t="s">
        <v>189</v>
      </c>
      <c r="C353" s="934" t="s">
        <v>1388</v>
      </c>
      <c r="D353" s="932">
        <v>0</v>
      </c>
      <c r="E353" s="924">
        <v>0</v>
      </c>
      <c r="F353" s="924">
        <v>0</v>
      </c>
      <c r="G353" s="932">
        <v>0</v>
      </c>
      <c r="H353" s="932">
        <v>0</v>
      </c>
      <c r="I353" s="924">
        <v>0</v>
      </c>
      <c r="J353" s="924">
        <v>0</v>
      </c>
      <c r="K353" s="924">
        <v>0</v>
      </c>
    </row>
    <row r="354" spans="1:11" s="641" customFormat="1" x14ac:dyDescent="0.25">
      <c r="A354" s="94">
        <f t="shared" si="30"/>
        <v>273</v>
      </c>
      <c r="B354" s="606" t="s">
        <v>192</v>
      </c>
      <c r="C354" s="934" t="s">
        <v>1388</v>
      </c>
      <c r="D354" s="932">
        <v>0</v>
      </c>
      <c r="E354" s="924">
        <v>0</v>
      </c>
      <c r="F354" s="924">
        <v>0</v>
      </c>
      <c r="G354" s="932">
        <v>0</v>
      </c>
      <c r="H354" s="932">
        <v>0</v>
      </c>
      <c r="I354" s="924">
        <v>0</v>
      </c>
      <c r="J354" s="924">
        <v>0</v>
      </c>
      <c r="K354" s="924">
        <v>0</v>
      </c>
    </row>
    <row r="355" spans="1:11" s="641" customFormat="1" x14ac:dyDescent="0.25">
      <c r="A355" s="94">
        <f t="shared" si="30"/>
        <v>274</v>
      </c>
      <c r="B355" s="606" t="s">
        <v>191</v>
      </c>
      <c r="C355" s="934" t="s">
        <v>1388</v>
      </c>
      <c r="D355" s="932">
        <v>0</v>
      </c>
      <c r="E355" s="924">
        <v>0</v>
      </c>
      <c r="F355" s="924">
        <v>0</v>
      </c>
      <c r="G355" s="932">
        <v>0</v>
      </c>
      <c r="H355" s="932">
        <v>0</v>
      </c>
      <c r="I355" s="924">
        <v>0</v>
      </c>
      <c r="J355" s="924">
        <v>0</v>
      </c>
      <c r="K355" s="924">
        <v>0</v>
      </c>
    </row>
    <row r="356" spans="1:11" s="641" customFormat="1" x14ac:dyDescent="0.25">
      <c r="A356" s="94">
        <f t="shared" si="30"/>
        <v>275</v>
      </c>
      <c r="B356" s="606" t="s">
        <v>181</v>
      </c>
      <c r="C356" s="934" t="s">
        <v>1388</v>
      </c>
      <c r="D356" s="932">
        <v>0</v>
      </c>
      <c r="E356" s="924">
        <v>0</v>
      </c>
      <c r="F356" s="924">
        <v>0</v>
      </c>
      <c r="G356" s="932">
        <v>0</v>
      </c>
      <c r="H356" s="932">
        <v>0</v>
      </c>
      <c r="I356" s="924">
        <v>0</v>
      </c>
      <c r="J356" s="924">
        <v>0</v>
      </c>
      <c r="K356" s="924">
        <v>0</v>
      </c>
    </row>
    <row r="357" spans="1:11" s="641" customFormat="1" x14ac:dyDescent="0.25">
      <c r="A357" s="94">
        <f t="shared" si="30"/>
        <v>276</v>
      </c>
      <c r="B357" s="606" t="s">
        <v>182</v>
      </c>
      <c r="C357" s="934" t="s">
        <v>1388</v>
      </c>
      <c r="D357" s="932">
        <v>0</v>
      </c>
      <c r="E357" s="924">
        <v>0</v>
      </c>
      <c r="F357" s="924">
        <v>0</v>
      </c>
      <c r="G357" s="932">
        <v>0</v>
      </c>
      <c r="H357" s="932">
        <v>0</v>
      </c>
      <c r="I357" s="924">
        <v>0</v>
      </c>
      <c r="J357" s="924">
        <v>0</v>
      </c>
      <c r="K357" s="924">
        <v>0</v>
      </c>
    </row>
    <row r="358" spans="1:11" s="641" customFormat="1" x14ac:dyDescent="0.25">
      <c r="A358" s="94">
        <f t="shared" si="30"/>
        <v>277</v>
      </c>
      <c r="B358" s="608" t="s">
        <v>183</v>
      </c>
      <c r="C358" s="934" t="s">
        <v>1388</v>
      </c>
      <c r="D358" s="932">
        <v>0</v>
      </c>
      <c r="E358" s="924">
        <v>0</v>
      </c>
      <c r="F358" s="924">
        <v>0</v>
      </c>
      <c r="G358" s="932">
        <v>0</v>
      </c>
      <c r="H358" s="932">
        <v>0</v>
      </c>
      <c r="I358" s="924">
        <v>0</v>
      </c>
      <c r="J358" s="924">
        <v>0</v>
      </c>
      <c r="K358" s="924">
        <v>0</v>
      </c>
    </row>
    <row r="359" spans="1:11" s="641" customFormat="1" x14ac:dyDescent="0.25">
      <c r="A359" s="94">
        <f t="shared" si="30"/>
        <v>278</v>
      </c>
      <c r="B359" s="608" t="s">
        <v>196</v>
      </c>
      <c r="C359" s="934" t="s">
        <v>1388</v>
      </c>
      <c r="D359" s="932">
        <v>0</v>
      </c>
      <c r="E359" s="924">
        <v>0</v>
      </c>
      <c r="F359" s="924">
        <v>0</v>
      </c>
      <c r="G359" s="932">
        <v>0</v>
      </c>
      <c r="H359" s="932">
        <v>0</v>
      </c>
      <c r="I359" s="924">
        <v>0</v>
      </c>
      <c r="J359" s="924">
        <v>0</v>
      </c>
      <c r="K359" s="924">
        <v>0</v>
      </c>
    </row>
    <row r="360" spans="1:11" s="641" customFormat="1" x14ac:dyDescent="0.25">
      <c r="A360" s="94">
        <f t="shared" si="30"/>
        <v>279</v>
      </c>
      <c r="B360" s="606" t="s">
        <v>184</v>
      </c>
      <c r="C360" s="934" t="s">
        <v>1388</v>
      </c>
      <c r="D360" s="932">
        <v>0</v>
      </c>
      <c r="E360" s="924">
        <v>0</v>
      </c>
      <c r="F360" s="924">
        <v>0</v>
      </c>
      <c r="G360" s="932">
        <v>0</v>
      </c>
      <c r="H360" s="932">
        <v>0</v>
      </c>
      <c r="I360" s="924">
        <v>0</v>
      </c>
      <c r="J360" s="924">
        <v>0</v>
      </c>
      <c r="K360" s="924">
        <v>0</v>
      </c>
    </row>
    <row r="361" spans="1:11" s="641" customFormat="1" x14ac:dyDescent="0.25">
      <c r="A361" s="94">
        <f t="shared" si="30"/>
        <v>280</v>
      </c>
      <c r="B361" s="608" t="s">
        <v>185</v>
      </c>
      <c r="C361" s="934" t="s">
        <v>1388</v>
      </c>
      <c r="D361" s="932">
        <v>0</v>
      </c>
      <c r="E361" s="924">
        <v>0</v>
      </c>
      <c r="F361" s="924">
        <v>0</v>
      </c>
      <c r="G361" s="932">
        <v>0</v>
      </c>
      <c r="H361" s="932">
        <v>0</v>
      </c>
      <c r="I361" s="924">
        <v>0</v>
      </c>
      <c r="J361" s="924">
        <v>0</v>
      </c>
      <c r="K361" s="924">
        <v>0</v>
      </c>
    </row>
    <row r="362" spans="1:11" s="641" customFormat="1" x14ac:dyDescent="0.25">
      <c r="A362" s="94">
        <f t="shared" si="30"/>
        <v>281</v>
      </c>
      <c r="B362" s="608" t="s">
        <v>1475</v>
      </c>
      <c r="C362" s="934" t="s">
        <v>1388</v>
      </c>
      <c r="D362" s="932">
        <v>0</v>
      </c>
      <c r="E362" s="924">
        <v>0</v>
      </c>
      <c r="F362" s="924">
        <v>0</v>
      </c>
      <c r="G362" s="932">
        <v>0</v>
      </c>
      <c r="H362" s="932">
        <v>0</v>
      </c>
      <c r="I362" s="924">
        <v>0</v>
      </c>
      <c r="J362" s="924">
        <v>0</v>
      </c>
      <c r="K362" s="924">
        <v>0</v>
      </c>
    </row>
    <row r="363" spans="1:11" s="641" customFormat="1" x14ac:dyDescent="0.25">
      <c r="A363" s="94">
        <f t="shared" si="30"/>
        <v>282</v>
      </c>
      <c r="B363" s="606" t="s">
        <v>187</v>
      </c>
      <c r="C363" s="934" t="s">
        <v>1388</v>
      </c>
      <c r="D363" s="932">
        <v>0</v>
      </c>
      <c r="E363" s="924">
        <v>0</v>
      </c>
      <c r="F363" s="924">
        <v>0</v>
      </c>
      <c r="G363" s="932">
        <v>0</v>
      </c>
      <c r="H363" s="932">
        <v>0</v>
      </c>
      <c r="I363" s="924">
        <v>0</v>
      </c>
      <c r="J363" s="924">
        <v>0</v>
      </c>
      <c r="K363" s="924">
        <v>0</v>
      </c>
    </row>
    <row r="364" spans="1:11" s="641" customFormat="1" x14ac:dyDescent="0.25">
      <c r="A364" s="94">
        <f t="shared" si="30"/>
        <v>283</v>
      </c>
      <c r="B364" s="608" t="s">
        <v>188</v>
      </c>
      <c r="C364" s="934" t="s">
        <v>1388</v>
      </c>
      <c r="D364" s="932">
        <v>0</v>
      </c>
      <c r="E364" s="924">
        <v>0</v>
      </c>
      <c r="F364" s="924">
        <v>0</v>
      </c>
      <c r="G364" s="932">
        <v>0</v>
      </c>
      <c r="H364" s="932">
        <v>0</v>
      </c>
      <c r="I364" s="924">
        <v>0</v>
      </c>
      <c r="J364" s="924">
        <v>0</v>
      </c>
      <c r="K364" s="924">
        <v>0</v>
      </c>
    </row>
    <row r="365" spans="1:11" s="641" customFormat="1" x14ac:dyDescent="0.25">
      <c r="A365" s="94">
        <f t="shared" si="30"/>
        <v>284</v>
      </c>
      <c r="B365" s="608" t="s">
        <v>189</v>
      </c>
      <c r="C365" s="934" t="s">
        <v>1388</v>
      </c>
      <c r="D365" s="932">
        <v>0</v>
      </c>
      <c r="E365" s="924">
        <v>0</v>
      </c>
      <c r="F365" s="924">
        <v>0</v>
      </c>
      <c r="G365" s="932">
        <v>0</v>
      </c>
      <c r="H365" s="932">
        <v>0</v>
      </c>
      <c r="I365" s="924">
        <v>0</v>
      </c>
      <c r="J365" s="924">
        <v>0</v>
      </c>
      <c r="K365" s="924">
        <v>0</v>
      </c>
    </row>
    <row r="366" spans="1:11" s="641" customFormat="1" x14ac:dyDescent="0.25">
      <c r="A366" s="94">
        <f t="shared" si="30"/>
        <v>285</v>
      </c>
      <c r="B366" s="608" t="s">
        <v>192</v>
      </c>
      <c r="C366" s="934" t="s">
        <v>1388</v>
      </c>
      <c r="D366" s="932">
        <v>0</v>
      </c>
      <c r="E366" s="924">
        <v>0</v>
      </c>
      <c r="F366" s="924">
        <v>0</v>
      </c>
      <c r="G366" s="932">
        <v>0</v>
      </c>
      <c r="H366" s="932">
        <v>0</v>
      </c>
      <c r="I366" s="924">
        <v>0</v>
      </c>
      <c r="J366" s="924">
        <v>0</v>
      </c>
      <c r="K366" s="924">
        <v>0</v>
      </c>
    </row>
    <row r="367" spans="1:11" s="641" customFormat="1" x14ac:dyDescent="0.25">
      <c r="A367" s="94">
        <f t="shared" si="30"/>
        <v>286</v>
      </c>
      <c r="B367" s="608" t="s">
        <v>191</v>
      </c>
      <c r="C367" s="934" t="s">
        <v>1388</v>
      </c>
      <c r="D367" s="932">
        <v>0</v>
      </c>
      <c r="E367" s="924">
        <v>0</v>
      </c>
      <c r="F367" s="924">
        <v>0</v>
      </c>
      <c r="G367" s="932">
        <v>0</v>
      </c>
      <c r="H367" s="932">
        <v>0</v>
      </c>
      <c r="I367" s="924">
        <v>0</v>
      </c>
      <c r="J367" s="924">
        <v>0</v>
      </c>
      <c r="K367" s="924">
        <v>0</v>
      </c>
    </row>
    <row r="368" spans="1:11" s="641" customFormat="1" ht="15" x14ac:dyDescent="0.4">
      <c r="A368" s="94">
        <f t="shared" si="30"/>
        <v>287</v>
      </c>
      <c r="B368" s="608" t="s">
        <v>181</v>
      </c>
      <c r="C368" s="934" t="s">
        <v>1388</v>
      </c>
      <c r="D368" s="932">
        <v>0</v>
      </c>
      <c r="E368" s="924">
        <v>0</v>
      </c>
      <c r="F368" s="924">
        <v>0</v>
      </c>
      <c r="G368" s="932">
        <v>0</v>
      </c>
      <c r="H368" s="932">
        <v>0</v>
      </c>
      <c r="I368" s="924">
        <v>0</v>
      </c>
      <c r="J368" s="924">
        <v>0</v>
      </c>
      <c r="K368" s="925">
        <v>0</v>
      </c>
    </row>
    <row r="369" spans="1:11" s="641" customFormat="1" x14ac:dyDescent="0.25">
      <c r="A369" s="94">
        <f t="shared" si="30"/>
        <v>288</v>
      </c>
      <c r="B369"/>
      <c r="C369" s="640" t="s">
        <v>1626</v>
      </c>
      <c r="D369"/>
      <c r="E369"/>
      <c r="F369"/>
      <c r="G369"/>
      <c r="H369"/>
      <c r="I369"/>
      <c r="J369"/>
      <c r="K369" s="939">
        <v>0</v>
      </c>
    </row>
    <row r="370" spans="1:11" s="641" customFormat="1" x14ac:dyDescent="0.25">
      <c r="A370" s="94"/>
      <c r="B370"/>
      <c r="C370" s="640"/>
      <c r="D370"/>
      <c r="E370"/>
      <c r="F370"/>
      <c r="G370"/>
      <c r="H370"/>
      <c r="I370"/>
      <c r="J370"/>
      <c r="K370" s="66"/>
    </row>
    <row r="371" spans="1:11" s="641" customFormat="1" x14ac:dyDescent="0.25">
      <c r="B371" s="642" t="s">
        <v>1972</v>
      </c>
      <c r="D371" s="1080" t="s">
        <v>1973</v>
      </c>
      <c r="E371" s="1080"/>
      <c r="F371" s="1081"/>
    </row>
    <row r="372" spans="1:11" s="641" customFormat="1" x14ac:dyDescent="0.25">
      <c r="A372" s="636"/>
      <c r="B372" s="636"/>
      <c r="C372" s="636"/>
      <c r="D372" s="636" t="s">
        <v>363</v>
      </c>
      <c r="E372" s="636" t="s">
        <v>347</v>
      </c>
      <c r="F372" s="636" t="s">
        <v>348</v>
      </c>
      <c r="G372" s="636" t="s">
        <v>349</v>
      </c>
      <c r="H372" s="636" t="s">
        <v>350</v>
      </c>
      <c r="I372" s="636" t="s">
        <v>351</v>
      </c>
      <c r="J372" s="636" t="s">
        <v>352</v>
      </c>
      <c r="K372" s="636" t="s">
        <v>541</v>
      </c>
    </row>
    <row r="373" spans="1:11" s="641" customFormat="1" ht="26.4" x14ac:dyDescent="0.25">
      <c r="D373" s="643"/>
      <c r="E373" s="644" t="s">
        <v>2094</v>
      </c>
      <c r="F373" s="645" t="s">
        <v>1955</v>
      </c>
      <c r="G373" s="452"/>
      <c r="H373" s="643"/>
      <c r="I373" s="644" t="s">
        <v>2095</v>
      </c>
      <c r="J373" s="644" t="s">
        <v>1956</v>
      </c>
      <c r="K373" s="644" t="s">
        <v>1957</v>
      </c>
    </row>
    <row r="374" spans="1:11" s="641" customFormat="1" x14ac:dyDescent="0.25">
      <c r="D374" s="643"/>
      <c r="E374" s="644"/>
      <c r="F374" s="645"/>
      <c r="G374" s="4" t="str">
        <f>G51</f>
        <v>Unloaded</v>
      </c>
      <c r="H374" s="643"/>
      <c r="I374" s="644"/>
      <c r="J374" s="644"/>
      <c r="K374" s="644"/>
    </row>
    <row r="375" spans="1:11" s="641" customFormat="1" x14ac:dyDescent="0.25">
      <c r="A375" s="638"/>
      <c r="B375" s="638"/>
      <c r="C375" s="638"/>
      <c r="D375" s="638" t="str">
        <f>D$52</f>
        <v>Forecast</v>
      </c>
      <c r="E375" s="638" t="str">
        <f t="shared" ref="E375:J375" si="31">E$52</f>
        <v>Corporate</v>
      </c>
      <c r="F375" s="638" t="str">
        <f t="shared" si="31"/>
        <v xml:space="preserve">Total </v>
      </c>
      <c r="G375" s="4" t="str">
        <f>G52</f>
        <v>Total</v>
      </c>
      <c r="H375" s="638" t="str">
        <f t="shared" si="31"/>
        <v>Prior Period</v>
      </c>
      <c r="I375" s="638" t="str">
        <f t="shared" si="31"/>
        <v>Over Heads</v>
      </c>
      <c r="J375" s="638" t="str">
        <f t="shared" si="31"/>
        <v>Forecast</v>
      </c>
      <c r="K375" s="638" t="str">
        <f>K$52</f>
        <v>Forecast Period</v>
      </c>
    </row>
    <row r="376" spans="1:11" s="641" customFormat="1" x14ac:dyDescent="0.25">
      <c r="A376" s="844" t="s">
        <v>332</v>
      </c>
      <c r="B376" s="605" t="s">
        <v>193</v>
      </c>
      <c r="C376" s="605" t="s">
        <v>194</v>
      </c>
      <c r="D376" s="636" t="str">
        <f>D$53</f>
        <v>Expenditures</v>
      </c>
      <c r="E376" s="636" t="str">
        <f t="shared" ref="E376:J376" si="32">E$53</f>
        <v>Overheads</v>
      </c>
      <c r="F376" s="636" t="str">
        <f t="shared" si="32"/>
        <v>CWIP Exp</v>
      </c>
      <c r="G376" s="76" t="str">
        <f>G53</f>
        <v>Plant Adds</v>
      </c>
      <c r="H376" s="636" t="str">
        <f t="shared" si="32"/>
        <v>CWIP Closed</v>
      </c>
      <c r="I376" s="636" t="str">
        <f t="shared" si="32"/>
        <v>Closed to PIS</v>
      </c>
      <c r="J376" s="636" t="str">
        <f t="shared" si="32"/>
        <v>Period CWIP</v>
      </c>
      <c r="K376" s="636" t="str">
        <f>K$53</f>
        <v>Incremental CWIP</v>
      </c>
    </row>
    <row r="377" spans="1:11" s="641" customFormat="1" x14ac:dyDescent="0.25">
      <c r="A377" s="94">
        <f>A369+1</f>
        <v>289</v>
      </c>
      <c r="B377" s="606" t="s">
        <v>181</v>
      </c>
      <c r="C377" s="934" t="s">
        <v>1388</v>
      </c>
      <c r="D377" s="645" t="s">
        <v>77</v>
      </c>
      <c r="E377" s="645" t="s">
        <v>77</v>
      </c>
      <c r="F377" s="645" t="s">
        <v>77</v>
      </c>
      <c r="G377" s="645" t="s">
        <v>77</v>
      </c>
      <c r="H377" s="645" t="s">
        <v>77</v>
      </c>
      <c r="I377" s="645" t="s">
        <v>77</v>
      </c>
      <c r="J377" s="56">
        <v>0</v>
      </c>
      <c r="K377" s="645" t="s">
        <v>77</v>
      </c>
    </row>
    <row r="378" spans="1:11" s="641" customFormat="1" x14ac:dyDescent="0.25">
      <c r="A378" s="94">
        <f>A377+1</f>
        <v>290</v>
      </c>
      <c r="B378" s="606" t="s">
        <v>182</v>
      </c>
      <c r="C378" s="934" t="s">
        <v>1388</v>
      </c>
      <c r="D378" s="932">
        <v>0</v>
      </c>
      <c r="E378" s="924">
        <v>0</v>
      </c>
      <c r="F378" s="924">
        <v>0</v>
      </c>
      <c r="G378" s="932">
        <v>0</v>
      </c>
      <c r="H378" s="932">
        <v>0</v>
      </c>
      <c r="I378" s="924">
        <v>0</v>
      </c>
      <c r="J378" s="924">
        <v>0</v>
      </c>
      <c r="K378" s="924">
        <v>0</v>
      </c>
    </row>
    <row r="379" spans="1:11" s="641" customFormat="1" x14ac:dyDescent="0.25">
      <c r="A379" s="94">
        <f t="shared" ref="A379:A402" si="33">A378+1</f>
        <v>291</v>
      </c>
      <c r="B379" s="608" t="s">
        <v>183</v>
      </c>
      <c r="C379" s="934" t="s">
        <v>1388</v>
      </c>
      <c r="D379" s="932">
        <v>0</v>
      </c>
      <c r="E379" s="924">
        <v>0</v>
      </c>
      <c r="F379" s="924">
        <v>0</v>
      </c>
      <c r="G379" s="932">
        <v>0</v>
      </c>
      <c r="H379" s="932">
        <v>0</v>
      </c>
      <c r="I379" s="924">
        <v>0</v>
      </c>
      <c r="J379" s="924">
        <v>0</v>
      </c>
      <c r="K379" s="924">
        <v>0</v>
      </c>
    </row>
    <row r="380" spans="1:11" s="641" customFormat="1" x14ac:dyDescent="0.25">
      <c r="A380" s="94">
        <f t="shared" si="33"/>
        <v>292</v>
      </c>
      <c r="B380" s="608" t="s">
        <v>196</v>
      </c>
      <c r="C380" s="934" t="s">
        <v>1388</v>
      </c>
      <c r="D380" s="932">
        <v>0</v>
      </c>
      <c r="E380" s="924">
        <v>0</v>
      </c>
      <c r="F380" s="924">
        <v>0</v>
      </c>
      <c r="G380" s="932">
        <v>0</v>
      </c>
      <c r="H380" s="932">
        <v>0</v>
      </c>
      <c r="I380" s="924">
        <v>0</v>
      </c>
      <c r="J380" s="924">
        <v>0</v>
      </c>
      <c r="K380" s="924">
        <v>0</v>
      </c>
    </row>
    <row r="381" spans="1:11" s="641" customFormat="1" x14ac:dyDescent="0.25">
      <c r="A381" s="94">
        <f t="shared" si="33"/>
        <v>293</v>
      </c>
      <c r="B381" s="606" t="s">
        <v>184</v>
      </c>
      <c r="C381" s="934" t="s">
        <v>1388</v>
      </c>
      <c r="D381" s="932">
        <v>0</v>
      </c>
      <c r="E381" s="924">
        <v>0</v>
      </c>
      <c r="F381" s="924">
        <v>0</v>
      </c>
      <c r="G381" s="932">
        <v>0</v>
      </c>
      <c r="H381" s="932">
        <v>0</v>
      </c>
      <c r="I381" s="924">
        <v>0</v>
      </c>
      <c r="J381" s="924">
        <v>0</v>
      </c>
      <c r="K381" s="924">
        <v>0</v>
      </c>
    </row>
    <row r="382" spans="1:11" s="641" customFormat="1" x14ac:dyDescent="0.25">
      <c r="A382" s="94">
        <f t="shared" si="33"/>
        <v>294</v>
      </c>
      <c r="B382" s="608" t="s">
        <v>185</v>
      </c>
      <c r="C382" s="934" t="s">
        <v>1388</v>
      </c>
      <c r="D382" s="932">
        <v>0</v>
      </c>
      <c r="E382" s="924">
        <v>0</v>
      </c>
      <c r="F382" s="924">
        <v>0</v>
      </c>
      <c r="G382" s="932">
        <v>0</v>
      </c>
      <c r="H382" s="932">
        <v>0</v>
      </c>
      <c r="I382" s="924">
        <v>0</v>
      </c>
      <c r="J382" s="924">
        <v>0</v>
      </c>
      <c r="K382" s="924">
        <v>0</v>
      </c>
    </row>
    <row r="383" spans="1:11" s="641" customFormat="1" x14ac:dyDescent="0.25">
      <c r="A383" s="94">
        <f t="shared" si="33"/>
        <v>295</v>
      </c>
      <c r="B383" s="608" t="s">
        <v>1475</v>
      </c>
      <c r="C383" s="934" t="s">
        <v>1388</v>
      </c>
      <c r="D383" s="932">
        <v>0</v>
      </c>
      <c r="E383" s="924">
        <v>0</v>
      </c>
      <c r="F383" s="924">
        <v>0</v>
      </c>
      <c r="G383" s="932">
        <v>0</v>
      </c>
      <c r="H383" s="932">
        <v>0</v>
      </c>
      <c r="I383" s="924">
        <v>0</v>
      </c>
      <c r="J383" s="924">
        <v>0</v>
      </c>
      <c r="K383" s="924">
        <v>0</v>
      </c>
    </row>
    <row r="384" spans="1:11" s="641" customFormat="1" x14ac:dyDescent="0.25">
      <c r="A384" s="94">
        <f t="shared" si="33"/>
        <v>296</v>
      </c>
      <c r="B384" s="606" t="s">
        <v>187</v>
      </c>
      <c r="C384" s="934" t="s">
        <v>1388</v>
      </c>
      <c r="D384" s="932">
        <v>0</v>
      </c>
      <c r="E384" s="924">
        <v>0</v>
      </c>
      <c r="F384" s="924">
        <v>0</v>
      </c>
      <c r="G384" s="932">
        <v>0</v>
      </c>
      <c r="H384" s="932">
        <v>0</v>
      </c>
      <c r="I384" s="924">
        <v>0</v>
      </c>
      <c r="J384" s="924">
        <v>0</v>
      </c>
      <c r="K384" s="924">
        <v>0</v>
      </c>
    </row>
    <row r="385" spans="1:11" s="641" customFormat="1" x14ac:dyDescent="0.25">
      <c r="A385" s="94">
        <f t="shared" si="33"/>
        <v>297</v>
      </c>
      <c r="B385" s="608" t="s">
        <v>188</v>
      </c>
      <c r="C385" s="934" t="s">
        <v>1388</v>
      </c>
      <c r="D385" s="932">
        <v>0</v>
      </c>
      <c r="E385" s="924">
        <v>0</v>
      </c>
      <c r="F385" s="924">
        <v>0</v>
      </c>
      <c r="G385" s="932">
        <v>0</v>
      </c>
      <c r="H385" s="932">
        <v>0</v>
      </c>
      <c r="I385" s="924">
        <v>0</v>
      </c>
      <c r="J385" s="924">
        <v>0</v>
      </c>
      <c r="K385" s="924">
        <v>0</v>
      </c>
    </row>
    <row r="386" spans="1:11" s="641" customFormat="1" x14ac:dyDescent="0.25">
      <c r="A386" s="94">
        <f t="shared" si="33"/>
        <v>298</v>
      </c>
      <c r="B386" s="608" t="s">
        <v>189</v>
      </c>
      <c r="C386" s="934" t="s">
        <v>1388</v>
      </c>
      <c r="D386" s="932">
        <v>0</v>
      </c>
      <c r="E386" s="924">
        <v>0</v>
      </c>
      <c r="F386" s="924">
        <v>0</v>
      </c>
      <c r="G386" s="932">
        <v>0</v>
      </c>
      <c r="H386" s="932">
        <v>0</v>
      </c>
      <c r="I386" s="924">
        <v>0</v>
      </c>
      <c r="J386" s="924">
        <v>0</v>
      </c>
      <c r="K386" s="924">
        <v>0</v>
      </c>
    </row>
    <row r="387" spans="1:11" s="641" customFormat="1" x14ac:dyDescent="0.25">
      <c r="A387" s="94">
        <f t="shared" si="33"/>
        <v>299</v>
      </c>
      <c r="B387" s="606" t="s">
        <v>192</v>
      </c>
      <c r="C387" s="934" t="s">
        <v>1388</v>
      </c>
      <c r="D387" s="932">
        <v>0</v>
      </c>
      <c r="E387" s="924">
        <v>0</v>
      </c>
      <c r="F387" s="924">
        <v>0</v>
      </c>
      <c r="G387" s="932">
        <v>0</v>
      </c>
      <c r="H387" s="932">
        <v>0</v>
      </c>
      <c r="I387" s="924">
        <v>0</v>
      </c>
      <c r="J387" s="924">
        <v>0</v>
      </c>
      <c r="K387" s="924">
        <v>0</v>
      </c>
    </row>
    <row r="388" spans="1:11" s="641" customFormat="1" x14ac:dyDescent="0.25">
      <c r="A388" s="94">
        <f t="shared" si="33"/>
        <v>300</v>
      </c>
      <c r="B388" s="606" t="s">
        <v>191</v>
      </c>
      <c r="C388" s="934" t="s">
        <v>1388</v>
      </c>
      <c r="D388" s="932">
        <v>0</v>
      </c>
      <c r="E388" s="924">
        <v>0</v>
      </c>
      <c r="F388" s="924">
        <v>0</v>
      </c>
      <c r="G388" s="932">
        <v>0</v>
      </c>
      <c r="H388" s="932">
        <v>0</v>
      </c>
      <c r="I388" s="924">
        <v>0</v>
      </c>
      <c r="J388" s="924">
        <v>0</v>
      </c>
      <c r="K388" s="924">
        <v>0</v>
      </c>
    </row>
    <row r="389" spans="1:11" s="641" customFormat="1" x14ac:dyDescent="0.25">
      <c r="A389" s="94">
        <f t="shared" si="33"/>
        <v>301</v>
      </c>
      <c r="B389" s="606" t="s">
        <v>181</v>
      </c>
      <c r="C389" s="934" t="s">
        <v>1388</v>
      </c>
      <c r="D389" s="932">
        <v>0</v>
      </c>
      <c r="E389" s="924">
        <v>0</v>
      </c>
      <c r="F389" s="924">
        <v>0</v>
      </c>
      <c r="G389" s="932">
        <v>0</v>
      </c>
      <c r="H389" s="932">
        <v>0</v>
      </c>
      <c r="I389" s="924">
        <v>0</v>
      </c>
      <c r="J389" s="924">
        <v>0</v>
      </c>
      <c r="K389" s="924">
        <v>0</v>
      </c>
    </row>
    <row r="390" spans="1:11" s="641" customFormat="1" x14ac:dyDescent="0.25">
      <c r="A390" s="94">
        <f t="shared" si="33"/>
        <v>302</v>
      </c>
      <c r="B390" s="606" t="s">
        <v>182</v>
      </c>
      <c r="C390" s="934" t="s">
        <v>1388</v>
      </c>
      <c r="D390" s="932">
        <v>0</v>
      </c>
      <c r="E390" s="924">
        <v>0</v>
      </c>
      <c r="F390" s="924">
        <v>0</v>
      </c>
      <c r="G390" s="932">
        <v>0</v>
      </c>
      <c r="H390" s="932">
        <v>0</v>
      </c>
      <c r="I390" s="924">
        <v>0</v>
      </c>
      <c r="J390" s="924">
        <v>0</v>
      </c>
      <c r="K390" s="924">
        <v>0</v>
      </c>
    </row>
    <row r="391" spans="1:11" s="641" customFormat="1" x14ac:dyDescent="0.25">
      <c r="A391" s="94">
        <f t="shared" si="33"/>
        <v>303</v>
      </c>
      <c r="B391" s="608" t="s">
        <v>183</v>
      </c>
      <c r="C391" s="934" t="s">
        <v>1388</v>
      </c>
      <c r="D391" s="932">
        <v>0</v>
      </c>
      <c r="E391" s="924">
        <v>0</v>
      </c>
      <c r="F391" s="924">
        <v>0</v>
      </c>
      <c r="G391" s="932">
        <v>0</v>
      </c>
      <c r="H391" s="932">
        <v>0</v>
      </c>
      <c r="I391" s="924">
        <v>0</v>
      </c>
      <c r="J391" s="924">
        <v>0</v>
      </c>
      <c r="K391" s="924">
        <v>0</v>
      </c>
    </row>
    <row r="392" spans="1:11" s="641" customFormat="1" x14ac:dyDescent="0.25">
      <c r="A392" s="94">
        <f t="shared" si="33"/>
        <v>304</v>
      </c>
      <c r="B392" s="608" t="s">
        <v>196</v>
      </c>
      <c r="C392" s="934" t="s">
        <v>1388</v>
      </c>
      <c r="D392" s="932">
        <v>0</v>
      </c>
      <c r="E392" s="924">
        <v>0</v>
      </c>
      <c r="F392" s="924">
        <v>0</v>
      </c>
      <c r="G392" s="932">
        <v>0</v>
      </c>
      <c r="H392" s="932">
        <v>0</v>
      </c>
      <c r="I392" s="924">
        <v>0</v>
      </c>
      <c r="J392" s="924">
        <v>0</v>
      </c>
      <c r="K392" s="924">
        <v>0</v>
      </c>
    </row>
    <row r="393" spans="1:11" s="641" customFormat="1" x14ac:dyDescent="0.25">
      <c r="A393" s="94">
        <f t="shared" si="33"/>
        <v>305</v>
      </c>
      <c r="B393" s="606" t="s">
        <v>184</v>
      </c>
      <c r="C393" s="934" t="s">
        <v>1388</v>
      </c>
      <c r="D393" s="932">
        <v>0</v>
      </c>
      <c r="E393" s="924">
        <v>0</v>
      </c>
      <c r="F393" s="924">
        <v>0</v>
      </c>
      <c r="G393" s="932">
        <v>0</v>
      </c>
      <c r="H393" s="932">
        <v>0</v>
      </c>
      <c r="I393" s="924">
        <v>0</v>
      </c>
      <c r="J393" s="924">
        <v>0</v>
      </c>
      <c r="K393" s="924">
        <v>0</v>
      </c>
    </row>
    <row r="394" spans="1:11" s="641" customFormat="1" x14ac:dyDescent="0.25">
      <c r="A394" s="94">
        <f t="shared" si="33"/>
        <v>306</v>
      </c>
      <c r="B394" s="608" t="s">
        <v>185</v>
      </c>
      <c r="C394" s="934" t="s">
        <v>1388</v>
      </c>
      <c r="D394" s="932">
        <v>0</v>
      </c>
      <c r="E394" s="924">
        <v>0</v>
      </c>
      <c r="F394" s="924">
        <v>0</v>
      </c>
      <c r="G394" s="932">
        <v>0</v>
      </c>
      <c r="H394" s="932">
        <v>0</v>
      </c>
      <c r="I394" s="924">
        <v>0</v>
      </c>
      <c r="J394" s="924">
        <v>0</v>
      </c>
      <c r="K394" s="924">
        <v>0</v>
      </c>
    </row>
    <row r="395" spans="1:11" s="641" customFormat="1" x14ac:dyDescent="0.25">
      <c r="A395" s="94">
        <f t="shared" si="33"/>
        <v>307</v>
      </c>
      <c r="B395" s="608" t="s">
        <v>1475</v>
      </c>
      <c r="C395" s="934" t="s">
        <v>1388</v>
      </c>
      <c r="D395" s="932">
        <v>0</v>
      </c>
      <c r="E395" s="924">
        <v>0</v>
      </c>
      <c r="F395" s="924">
        <v>0</v>
      </c>
      <c r="G395" s="932">
        <v>0</v>
      </c>
      <c r="H395" s="932">
        <v>0</v>
      </c>
      <c r="I395" s="924">
        <v>0</v>
      </c>
      <c r="J395" s="924">
        <v>0</v>
      </c>
      <c r="K395" s="924">
        <v>0</v>
      </c>
    </row>
    <row r="396" spans="1:11" s="641" customFormat="1" x14ac:dyDescent="0.25">
      <c r="A396" s="94">
        <f t="shared" si="33"/>
        <v>308</v>
      </c>
      <c r="B396" s="606" t="s">
        <v>187</v>
      </c>
      <c r="C396" s="934" t="s">
        <v>1388</v>
      </c>
      <c r="D396" s="932">
        <v>0</v>
      </c>
      <c r="E396" s="924">
        <v>0</v>
      </c>
      <c r="F396" s="924">
        <v>0</v>
      </c>
      <c r="G396" s="932">
        <v>0</v>
      </c>
      <c r="H396" s="932">
        <v>0</v>
      </c>
      <c r="I396" s="924">
        <v>0</v>
      </c>
      <c r="J396" s="924">
        <v>0</v>
      </c>
      <c r="K396" s="924">
        <v>0</v>
      </c>
    </row>
    <row r="397" spans="1:11" s="641" customFormat="1" x14ac:dyDescent="0.25">
      <c r="A397" s="94">
        <f t="shared" si="33"/>
        <v>309</v>
      </c>
      <c r="B397" s="608" t="s">
        <v>188</v>
      </c>
      <c r="C397" s="934" t="s">
        <v>1388</v>
      </c>
      <c r="D397" s="932">
        <v>0</v>
      </c>
      <c r="E397" s="924">
        <v>0</v>
      </c>
      <c r="F397" s="924">
        <v>0</v>
      </c>
      <c r="G397" s="932">
        <v>0</v>
      </c>
      <c r="H397" s="932">
        <v>0</v>
      </c>
      <c r="I397" s="924">
        <v>0</v>
      </c>
      <c r="J397" s="924">
        <v>0</v>
      </c>
      <c r="K397" s="924">
        <v>0</v>
      </c>
    </row>
    <row r="398" spans="1:11" s="641" customFormat="1" x14ac:dyDescent="0.25">
      <c r="A398" s="94">
        <f t="shared" si="33"/>
        <v>310</v>
      </c>
      <c r="B398" s="608" t="s">
        <v>189</v>
      </c>
      <c r="C398" s="934" t="s">
        <v>1388</v>
      </c>
      <c r="D398" s="932">
        <v>0</v>
      </c>
      <c r="E398" s="924">
        <v>0</v>
      </c>
      <c r="F398" s="924">
        <v>0</v>
      </c>
      <c r="G398" s="932">
        <v>0</v>
      </c>
      <c r="H398" s="932">
        <v>0</v>
      </c>
      <c r="I398" s="924">
        <v>0</v>
      </c>
      <c r="J398" s="924">
        <v>0</v>
      </c>
      <c r="K398" s="924">
        <v>0</v>
      </c>
    </row>
    <row r="399" spans="1:11" s="641" customFormat="1" x14ac:dyDescent="0.25">
      <c r="A399" s="94">
        <f t="shared" si="33"/>
        <v>311</v>
      </c>
      <c r="B399" s="608" t="s">
        <v>192</v>
      </c>
      <c r="C399" s="934" t="s">
        <v>1388</v>
      </c>
      <c r="D399" s="932">
        <v>0</v>
      </c>
      <c r="E399" s="924">
        <v>0</v>
      </c>
      <c r="F399" s="924">
        <v>0</v>
      </c>
      <c r="G399" s="932">
        <v>0</v>
      </c>
      <c r="H399" s="932">
        <v>0</v>
      </c>
      <c r="I399" s="924">
        <v>0</v>
      </c>
      <c r="J399" s="924">
        <v>0</v>
      </c>
      <c r="K399" s="924">
        <v>0</v>
      </c>
    </row>
    <row r="400" spans="1:11" s="641" customFormat="1" x14ac:dyDescent="0.25">
      <c r="A400" s="94">
        <f t="shared" si="33"/>
        <v>312</v>
      </c>
      <c r="B400" s="608" t="s">
        <v>191</v>
      </c>
      <c r="C400" s="934" t="s">
        <v>1388</v>
      </c>
      <c r="D400" s="932">
        <v>0</v>
      </c>
      <c r="E400" s="924">
        <v>0</v>
      </c>
      <c r="F400" s="924">
        <v>0</v>
      </c>
      <c r="G400" s="932">
        <v>0</v>
      </c>
      <c r="H400" s="932">
        <v>0</v>
      </c>
      <c r="I400" s="924">
        <v>0</v>
      </c>
      <c r="J400" s="924">
        <v>0</v>
      </c>
      <c r="K400" s="924">
        <v>0</v>
      </c>
    </row>
    <row r="401" spans="1:11" s="641" customFormat="1" ht="15" x14ac:dyDescent="0.4">
      <c r="A401" s="94">
        <f t="shared" si="33"/>
        <v>313</v>
      </c>
      <c r="B401" s="608" t="s">
        <v>181</v>
      </c>
      <c r="C401" s="934" t="s">
        <v>1388</v>
      </c>
      <c r="D401" s="932">
        <v>0</v>
      </c>
      <c r="E401" s="924">
        <v>0</v>
      </c>
      <c r="F401" s="924">
        <v>0</v>
      </c>
      <c r="G401" s="932">
        <v>0</v>
      </c>
      <c r="H401" s="932">
        <v>0</v>
      </c>
      <c r="I401" s="924">
        <v>0</v>
      </c>
      <c r="J401" s="924">
        <v>0</v>
      </c>
      <c r="K401" s="925">
        <v>0</v>
      </c>
    </row>
    <row r="402" spans="1:11" s="641" customFormat="1" x14ac:dyDescent="0.25">
      <c r="A402" s="94">
        <f t="shared" si="33"/>
        <v>314</v>
      </c>
      <c r="B402"/>
      <c r="C402" s="640" t="s">
        <v>1626</v>
      </c>
      <c r="D402"/>
      <c r="E402"/>
      <c r="F402"/>
      <c r="G402"/>
      <c r="H402"/>
      <c r="I402"/>
      <c r="J402"/>
      <c r="K402" s="939">
        <v>0</v>
      </c>
    </row>
    <row r="403" spans="1:11" s="641" customFormat="1" x14ac:dyDescent="0.25">
      <c r="A403" s="94"/>
      <c r="B403"/>
      <c r="C403" s="640"/>
      <c r="H403" s="645"/>
      <c r="I403" s="645"/>
      <c r="K403" s="66"/>
    </row>
    <row r="404" spans="1:11" s="641" customFormat="1" x14ac:dyDescent="0.25">
      <c r="A404" s="94"/>
      <c r="B404"/>
      <c r="C404" s="640"/>
      <c r="H404" s="645"/>
      <c r="I404" s="645"/>
      <c r="K404" s="66"/>
    </row>
    <row r="405" spans="1:11" s="641" customFormat="1" x14ac:dyDescent="0.25">
      <c r="A405" s="638"/>
      <c r="B405" s="612" t="s">
        <v>233</v>
      </c>
      <c r="C405"/>
      <c r="D405"/>
      <c r="E405"/>
      <c r="F405"/>
      <c r="G405"/>
      <c r="H405"/>
      <c r="I405"/>
    </row>
    <row r="406" spans="1:11" s="641" customFormat="1" x14ac:dyDescent="0.25">
      <c r="A406" s="638"/>
      <c r="B406" s="608" t="s">
        <v>2092</v>
      </c>
    </row>
    <row r="407" spans="1:11" s="641" customFormat="1" x14ac:dyDescent="0.25">
      <c r="A407" s="638"/>
      <c r="B407" s="608" t="s">
        <v>2093</v>
      </c>
      <c r="C407"/>
      <c r="D407"/>
      <c r="E407"/>
      <c r="F407"/>
      <c r="G407"/>
      <c r="H407"/>
      <c r="I407"/>
    </row>
    <row r="408" spans="1:11" s="641" customFormat="1" x14ac:dyDescent="0.25">
      <c r="A408" s="638"/>
      <c r="C408"/>
      <c r="D408"/>
      <c r="E408"/>
      <c r="F408"/>
      <c r="G408"/>
      <c r="H408"/>
      <c r="I408"/>
    </row>
    <row r="409" spans="1:11" s="641" customFormat="1" x14ac:dyDescent="0.25">
      <c r="A409" s="638"/>
      <c r="B409" s="1" t="s">
        <v>382</v>
      </c>
      <c r="C409"/>
      <c r="D409"/>
      <c r="E409"/>
      <c r="F409"/>
      <c r="G409"/>
      <c r="H409"/>
      <c r="I409"/>
    </row>
    <row r="410" spans="1:11" s="641" customFormat="1" x14ac:dyDescent="0.25">
      <c r="A410" s="638"/>
      <c r="B410" s="443" t="s">
        <v>995</v>
      </c>
      <c r="C410"/>
      <c r="D410"/>
      <c r="E410"/>
      <c r="F410"/>
      <c r="G410"/>
      <c r="H410"/>
      <c r="I410"/>
    </row>
    <row r="411" spans="1:11" s="641" customFormat="1" x14ac:dyDescent="0.25">
      <c r="A411" s="638"/>
      <c r="B411" s="443" t="s">
        <v>2195</v>
      </c>
      <c r="C411"/>
      <c r="D411"/>
      <c r="E411"/>
      <c r="F411"/>
      <c r="G411"/>
      <c r="H411"/>
      <c r="I411"/>
    </row>
    <row r="412" spans="1:11" s="641" customFormat="1" x14ac:dyDescent="0.25">
      <c r="A412" s="638"/>
      <c r="B412" s="445" t="s">
        <v>1974</v>
      </c>
      <c r="C412" s="13"/>
      <c r="D412" s="13"/>
      <c r="E412" s="13"/>
      <c r="F412" s="13"/>
      <c r="G412" s="13"/>
      <c r="H412" s="13"/>
      <c r="I412" s="13"/>
    </row>
    <row r="413" spans="1:11" s="641" customFormat="1" x14ac:dyDescent="0.25">
      <c r="A413" s="638"/>
      <c r="B413" s="442"/>
      <c r="C413" s="13"/>
      <c r="D413" s="13"/>
      <c r="E413" s="13"/>
      <c r="F413" s="13"/>
      <c r="G413" s="13"/>
      <c r="H413" s="13"/>
      <c r="I413" s="13"/>
    </row>
    <row r="414" spans="1:11" s="641" customFormat="1" x14ac:dyDescent="0.25">
      <c r="A414" s="638"/>
      <c r="B414" s="608"/>
      <c r="C414" s="647"/>
      <c r="H414" s="645"/>
      <c r="I414" s="645"/>
    </row>
    <row r="415" spans="1:11" s="641" customFormat="1" x14ac:dyDescent="0.25">
      <c r="A415" s="638"/>
      <c r="B415" s="608"/>
      <c r="C415" s="647"/>
      <c r="H415" s="645"/>
      <c r="I415" s="645"/>
    </row>
    <row r="416" spans="1:11" s="641" customFormat="1" x14ac:dyDescent="0.25">
      <c r="A416" s="638"/>
      <c r="B416" s="608"/>
      <c r="C416" s="647"/>
      <c r="H416" s="645"/>
      <c r="I416" s="645"/>
    </row>
    <row r="417" spans="1:11" s="641" customFormat="1" x14ac:dyDescent="0.25">
      <c r="A417" s="638"/>
      <c r="B417" s="608"/>
      <c r="C417" s="647"/>
      <c r="H417" s="645"/>
      <c r="I417" s="645"/>
    </row>
    <row r="418" spans="1:11" s="641" customFormat="1" x14ac:dyDescent="0.25">
      <c r="A418" s="638"/>
      <c r="B418" s="608"/>
      <c r="C418" s="647"/>
      <c r="D418" s="648"/>
      <c r="E418" s="648"/>
      <c r="F418" s="648"/>
      <c r="G418" s="648"/>
      <c r="H418" s="645"/>
      <c r="I418" s="645"/>
    </row>
    <row r="419" spans="1:11" s="641" customFormat="1" x14ac:dyDescent="0.25">
      <c r="A419" s="638"/>
      <c r="C419" s="649"/>
      <c r="D419" s="650"/>
      <c r="E419" s="650"/>
      <c r="F419" s="650"/>
      <c r="G419" s="650"/>
      <c r="H419" s="645"/>
      <c r="I419" s="645"/>
    </row>
    <row r="420" spans="1:11" s="641" customFormat="1" x14ac:dyDescent="0.25"/>
    <row r="421" spans="1:11" s="641" customFormat="1" x14ac:dyDescent="0.25">
      <c r="B421" s="612"/>
    </row>
    <row r="422" spans="1:11" s="641" customFormat="1" x14ac:dyDescent="0.25">
      <c r="B422" s="608"/>
    </row>
    <row r="423" spans="1:11" x14ac:dyDescent="0.25">
      <c r="A423" s="641"/>
      <c r="B423" s="641"/>
      <c r="C423" s="641"/>
      <c r="D423" s="641"/>
      <c r="E423" s="641"/>
      <c r="F423" s="641"/>
      <c r="G423" s="641"/>
      <c r="H423" s="641"/>
      <c r="I423" s="641"/>
      <c r="J423" s="641"/>
      <c r="K423" s="641"/>
    </row>
    <row r="424" spans="1:11" x14ac:dyDescent="0.25">
      <c r="A424" s="641"/>
      <c r="B424" s="651"/>
      <c r="C424" s="641"/>
      <c r="D424" s="641"/>
      <c r="E424" s="641"/>
      <c r="F424" s="641"/>
      <c r="G424" s="641"/>
      <c r="H424" s="641"/>
      <c r="I424" s="641"/>
      <c r="J424" s="641"/>
      <c r="K424" s="641"/>
    </row>
    <row r="425" spans="1:11" x14ac:dyDescent="0.25">
      <c r="A425" s="641"/>
      <c r="B425" s="652"/>
      <c r="C425" s="641"/>
      <c r="D425" s="641"/>
      <c r="E425" s="641"/>
      <c r="F425" s="641"/>
      <c r="G425" s="641"/>
      <c r="H425" s="641"/>
      <c r="I425" s="641"/>
      <c r="J425" s="641"/>
      <c r="K425" s="641"/>
    </row>
    <row r="426" spans="1:11" x14ac:dyDescent="0.25">
      <c r="A426" s="641"/>
      <c r="B426" s="652"/>
      <c r="C426" s="641"/>
      <c r="D426" s="641"/>
      <c r="E426" s="641"/>
      <c r="F426" s="641"/>
      <c r="G426" s="641"/>
      <c r="H426" s="641"/>
      <c r="I426" s="641"/>
      <c r="J426" s="641"/>
      <c r="K426" s="641"/>
    </row>
    <row r="427" spans="1:11" x14ac:dyDescent="0.25">
      <c r="A427" s="641"/>
      <c r="B427" s="652"/>
      <c r="C427" s="641"/>
      <c r="D427" s="641"/>
      <c r="E427" s="641"/>
      <c r="F427" s="641"/>
      <c r="G427" s="641"/>
      <c r="H427" s="641"/>
      <c r="I427" s="641"/>
      <c r="J427" s="641"/>
      <c r="K427" s="641"/>
    </row>
    <row r="428" spans="1:11" x14ac:dyDescent="0.25">
      <c r="A428" s="641"/>
      <c r="B428" s="653"/>
      <c r="C428" s="641"/>
      <c r="D428" s="641"/>
      <c r="E428" s="641"/>
      <c r="F428" s="641"/>
      <c r="G428" s="641"/>
      <c r="H428" s="641"/>
      <c r="I428" s="641"/>
      <c r="J428" s="641"/>
      <c r="K428" s="641"/>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1" t="s">
        <v>1209</v>
      </c>
      <c r="B1" s="100"/>
      <c r="C1" s="32"/>
      <c r="D1" s="32"/>
      <c r="E1" s="32"/>
      <c r="F1" s="32"/>
    </row>
    <row r="2" spans="1:6" x14ac:dyDescent="0.25">
      <c r="A2" s="102"/>
      <c r="B2" s="13"/>
      <c r="C2" s="103"/>
      <c r="D2" s="103"/>
      <c r="F2" s="37" t="s">
        <v>17</v>
      </c>
    </row>
    <row r="3" spans="1:6" x14ac:dyDescent="0.25">
      <c r="A3" s="102"/>
      <c r="B3" s="14" t="s">
        <v>499</v>
      </c>
      <c r="C3" s="103"/>
      <c r="D3" s="103"/>
      <c r="E3" s="103"/>
    </row>
    <row r="4" spans="1:6" x14ac:dyDescent="0.25">
      <c r="A4" s="102"/>
      <c r="B4" s="14" t="s">
        <v>391</v>
      </c>
      <c r="C4" s="103"/>
      <c r="D4" s="103"/>
      <c r="E4" s="103"/>
    </row>
    <row r="5" spans="1:6" x14ac:dyDescent="0.25">
      <c r="A5" s="102"/>
      <c r="B5" s="14" t="s">
        <v>396</v>
      </c>
      <c r="C5" s="103"/>
      <c r="D5" s="103"/>
      <c r="E5" s="103"/>
    </row>
    <row r="6" spans="1:6" x14ac:dyDescent="0.25">
      <c r="A6" s="102"/>
    </row>
    <row r="7" spans="1:6" x14ac:dyDescent="0.25">
      <c r="A7" s="44" t="s">
        <v>332</v>
      </c>
      <c r="B7" s="13"/>
      <c r="C7" s="103"/>
      <c r="D7" s="3" t="s">
        <v>394</v>
      </c>
      <c r="E7" s="101" t="s">
        <v>393</v>
      </c>
      <c r="F7" s="104" t="s">
        <v>180</v>
      </c>
    </row>
    <row r="8" spans="1:6" x14ac:dyDescent="0.25">
      <c r="A8" s="2">
        <v>1</v>
      </c>
      <c r="B8" s="14" t="s">
        <v>405</v>
      </c>
      <c r="D8" s="922">
        <v>0</v>
      </c>
      <c r="E8" s="922">
        <v>0</v>
      </c>
      <c r="F8" s="12" t="s">
        <v>1222</v>
      </c>
    </row>
    <row r="9" spans="1:6" x14ac:dyDescent="0.25">
      <c r="A9" s="2"/>
      <c r="B9" s="14"/>
      <c r="D9" s="13"/>
      <c r="E9" s="11"/>
    </row>
    <row r="10" spans="1:6" x14ac:dyDescent="0.25">
      <c r="A10" s="2"/>
      <c r="B10" s="14" t="s">
        <v>399</v>
      </c>
      <c r="D10" s="13"/>
      <c r="E10" s="11"/>
    </row>
    <row r="11" spans="1:6" x14ac:dyDescent="0.25">
      <c r="A11" s="2"/>
      <c r="B11" s="14"/>
      <c r="D11" s="13"/>
      <c r="E11" s="11"/>
    </row>
    <row r="12" spans="1:6" x14ac:dyDescent="0.25">
      <c r="A12" s="2"/>
      <c r="B12" s="76" t="s">
        <v>363</v>
      </c>
      <c r="C12" s="76" t="s">
        <v>347</v>
      </c>
      <c r="D12" s="76" t="s">
        <v>348</v>
      </c>
      <c r="E12" s="76" t="s">
        <v>349</v>
      </c>
      <c r="F12" s="76" t="s">
        <v>350</v>
      </c>
    </row>
    <row r="13" spans="1:6" x14ac:dyDescent="0.25">
      <c r="A13" s="2"/>
      <c r="B13" s="14"/>
      <c r="C13" s="2" t="s">
        <v>402</v>
      </c>
      <c r="D13" s="13"/>
      <c r="E13" s="11"/>
    </row>
    <row r="14" spans="1:6" x14ac:dyDescent="0.25">
      <c r="A14" s="2"/>
      <c r="B14" s="44" t="s">
        <v>101</v>
      </c>
      <c r="C14" s="3" t="s">
        <v>401</v>
      </c>
      <c r="D14" s="3" t="s">
        <v>394</v>
      </c>
      <c r="E14" s="101" t="s">
        <v>393</v>
      </c>
      <c r="F14" s="101" t="s">
        <v>180</v>
      </c>
    </row>
    <row r="15" spans="1:6" x14ac:dyDescent="0.25">
      <c r="A15" s="2" t="s">
        <v>513</v>
      </c>
      <c r="B15" s="453"/>
      <c r="C15" s="86"/>
      <c r="D15" s="922">
        <v>0</v>
      </c>
      <c r="E15" s="922">
        <v>0</v>
      </c>
      <c r="F15" s="86"/>
    </row>
    <row r="16" spans="1:6" x14ac:dyDescent="0.25">
      <c r="A16" s="2" t="s">
        <v>514</v>
      </c>
      <c r="B16" s="98"/>
      <c r="C16" s="86"/>
      <c r="D16" s="922">
        <v>0</v>
      </c>
      <c r="E16" s="922">
        <v>0</v>
      </c>
      <c r="F16" s="86"/>
    </row>
    <row r="17" spans="1:6" x14ac:dyDescent="0.25">
      <c r="A17" s="2" t="s">
        <v>515</v>
      </c>
      <c r="B17" s="98"/>
      <c r="C17" s="86"/>
      <c r="D17" s="922">
        <v>0</v>
      </c>
      <c r="E17" s="922">
        <v>0</v>
      </c>
      <c r="F17" s="86"/>
    </row>
    <row r="18" spans="1:6" x14ac:dyDescent="0.25">
      <c r="A18" s="2" t="s">
        <v>516</v>
      </c>
      <c r="B18" s="98"/>
      <c r="C18" s="86"/>
      <c r="D18" s="922">
        <v>0</v>
      </c>
      <c r="E18" s="922">
        <v>0</v>
      </c>
      <c r="F18" s="86"/>
    </row>
    <row r="19" spans="1:6" x14ac:dyDescent="0.25">
      <c r="A19" s="2" t="s">
        <v>517</v>
      </c>
      <c r="B19" s="98"/>
      <c r="C19" s="86"/>
      <c r="D19" s="922">
        <v>0</v>
      </c>
      <c r="E19" s="922">
        <v>0</v>
      </c>
      <c r="F19" s="86"/>
    </row>
    <row r="20" spans="1:6" x14ac:dyDescent="0.25">
      <c r="A20" s="2" t="s">
        <v>518</v>
      </c>
      <c r="B20" s="98"/>
      <c r="C20" s="86"/>
      <c r="D20" s="922">
        <v>0</v>
      </c>
      <c r="E20" s="922">
        <v>0</v>
      </c>
      <c r="F20" s="86"/>
    </row>
    <row r="21" spans="1:6" x14ac:dyDescent="0.25">
      <c r="A21" s="2" t="s">
        <v>519</v>
      </c>
      <c r="B21" s="98"/>
      <c r="C21" s="86"/>
      <c r="D21" s="922">
        <v>0</v>
      </c>
      <c r="E21" s="922">
        <v>0</v>
      </c>
      <c r="F21" s="86"/>
    </row>
    <row r="22" spans="1:6" x14ac:dyDescent="0.25">
      <c r="A22" s="2" t="s">
        <v>520</v>
      </c>
      <c r="B22" s="98"/>
      <c r="C22" s="86"/>
      <c r="D22" s="922">
        <v>0</v>
      </c>
      <c r="E22" s="922">
        <v>0</v>
      </c>
      <c r="F22" s="86"/>
    </row>
    <row r="23" spans="1:6" x14ac:dyDescent="0.25">
      <c r="A23" s="160"/>
      <c r="B23" s="371" t="s">
        <v>510</v>
      </c>
      <c r="C23" s="86"/>
      <c r="D23" s="372"/>
      <c r="E23" s="372"/>
      <c r="F23" s="86"/>
    </row>
    <row r="24" spans="1:6" x14ac:dyDescent="0.25">
      <c r="A24" s="2">
        <v>3</v>
      </c>
      <c r="C24" s="11" t="s">
        <v>4</v>
      </c>
      <c r="D24" s="940">
        <v>0</v>
      </c>
      <c r="E24" s="940">
        <v>0</v>
      </c>
      <c r="F24" s="12" t="s">
        <v>522</v>
      </c>
    </row>
    <row r="25" spans="1:6" x14ac:dyDescent="0.25">
      <c r="C25" s="11"/>
    </row>
    <row r="26" spans="1:6" x14ac:dyDescent="0.25">
      <c r="C26" s="11"/>
      <c r="D26" s="3" t="s">
        <v>394</v>
      </c>
      <c r="E26" s="101" t="s">
        <v>393</v>
      </c>
      <c r="F26" s="104" t="s">
        <v>180</v>
      </c>
    </row>
    <row r="27" spans="1:6" x14ac:dyDescent="0.25">
      <c r="A27" s="2">
        <v>4</v>
      </c>
      <c r="B27" s="11" t="s">
        <v>395</v>
      </c>
      <c r="C27" s="11"/>
      <c r="D27" s="922">
        <v>0</v>
      </c>
      <c r="E27" s="922">
        <v>0</v>
      </c>
      <c r="F27" s="40" t="s">
        <v>392</v>
      </c>
    </row>
    <row r="28" spans="1:6" x14ac:dyDescent="0.25">
      <c r="A28" s="2">
        <v>5</v>
      </c>
      <c r="B28" s="11" t="s">
        <v>305</v>
      </c>
      <c r="D28" s="926" t="s">
        <v>2193</v>
      </c>
      <c r="E28" s="926" t="s">
        <v>2193</v>
      </c>
      <c r="F28" s="40" t="str">
        <f>"27-Allocators, L "&amp;'27-Allocators'!A15&amp;""</f>
        <v>27-Allocators, L 9</v>
      </c>
    </row>
    <row r="29" spans="1:6" x14ac:dyDescent="0.25">
      <c r="A29" s="2">
        <v>6</v>
      </c>
      <c r="B29" s="11" t="s">
        <v>403</v>
      </c>
      <c r="C29" s="11"/>
      <c r="D29" s="940">
        <v>0</v>
      </c>
      <c r="E29" s="940">
        <v>0</v>
      </c>
      <c r="F29" s="12" t="str">
        <f>"L "&amp;A27&amp;" * L "&amp;A28&amp;""</f>
        <v>L 4 * L 5</v>
      </c>
    </row>
    <row r="30" spans="1:6" x14ac:dyDescent="0.25">
      <c r="C30" s="11"/>
    </row>
    <row r="31" spans="1:6" x14ac:dyDescent="0.25">
      <c r="B31" s="11" t="s">
        <v>400</v>
      </c>
    </row>
    <row r="32" spans="1:6" x14ac:dyDescent="0.25">
      <c r="C32" s="26"/>
      <c r="D32" s="27"/>
      <c r="E32" s="29"/>
    </row>
    <row r="33" spans="1:6" x14ac:dyDescent="0.25">
      <c r="D33" s="3" t="s">
        <v>394</v>
      </c>
      <c r="E33" s="101" t="s">
        <v>393</v>
      </c>
      <c r="F33" s="104" t="s">
        <v>180</v>
      </c>
    </row>
    <row r="34" spans="1:6" x14ac:dyDescent="0.25">
      <c r="A34" s="2">
        <v>7</v>
      </c>
      <c r="C34" s="11"/>
      <c r="D34" s="922">
        <v>0</v>
      </c>
      <c r="E34" s="922">
        <v>0</v>
      </c>
      <c r="F34" s="12" t="s">
        <v>364</v>
      </c>
    </row>
    <row r="37" spans="1:6" x14ac:dyDescent="0.25">
      <c r="B37" s="11" t="s">
        <v>404</v>
      </c>
      <c r="D37" s="3" t="s">
        <v>394</v>
      </c>
      <c r="E37" s="101" t="s">
        <v>393</v>
      </c>
      <c r="F37" s="104" t="s">
        <v>180</v>
      </c>
    </row>
    <row r="38" spans="1:6" x14ac:dyDescent="0.25">
      <c r="A38" s="2">
        <v>8</v>
      </c>
      <c r="D38" s="940">
        <v>0</v>
      </c>
      <c r="E38" s="940">
        <v>0</v>
      </c>
      <c r="F38" s="12" t="str">
        <f>"L "&amp;A24&amp;" + L "&amp;A29&amp;""</f>
        <v>L 3 + L 6</v>
      </c>
    </row>
    <row r="39" spans="1:6" x14ac:dyDescent="0.25">
      <c r="A39" s="2"/>
      <c r="D39" s="89"/>
      <c r="E39" s="89"/>
      <c r="F39" s="12"/>
    </row>
    <row r="40" spans="1:6" x14ac:dyDescent="0.25">
      <c r="B40" t="s">
        <v>406</v>
      </c>
    </row>
    <row r="41" spans="1:6" x14ac:dyDescent="0.25">
      <c r="A41" s="2">
        <v>9</v>
      </c>
      <c r="B41" s="11" t="s">
        <v>404</v>
      </c>
      <c r="D41" s="940">
        <v>0</v>
      </c>
      <c r="E41" s="89"/>
      <c r="F41" s="12" t="str">
        <f>"Sum of Line "&amp;A38&amp;" / 2"</f>
        <v>Sum of Line 8 / 2</v>
      </c>
    </row>
    <row r="42" spans="1:6" x14ac:dyDescent="0.25">
      <c r="B42" s="11"/>
    </row>
    <row r="43" spans="1:6" x14ac:dyDescent="0.25">
      <c r="B43" s="1" t="s">
        <v>501</v>
      </c>
      <c r="C43" s="11"/>
    </row>
    <row r="44" spans="1:6" x14ac:dyDescent="0.25">
      <c r="C44" s="11"/>
    </row>
    <row r="45" spans="1:6" x14ac:dyDescent="0.25">
      <c r="A45" s="2"/>
      <c r="F45" s="104" t="s">
        <v>180</v>
      </c>
    </row>
    <row r="46" spans="1:6" x14ac:dyDescent="0.25">
      <c r="A46" s="2">
        <v>10</v>
      </c>
      <c r="B46" s="11" t="s">
        <v>500</v>
      </c>
      <c r="E46" s="922">
        <v>0</v>
      </c>
      <c r="F46" s="12" t="s">
        <v>33</v>
      </c>
    </row>
    <row r="49" spans="2:2" x14ac:dyDescent="0.25">
      <c r="B49" s="1" t="s">
        <v>382</v>
      </c>
    </row>
    <row r="50" spans="2:2" x14ac:dyDescent="0.25">
      <c r="B50" s="11" t="s">
        <v>397</v>
      </c>
    </row>
    <row r="51" spans="2:2" x14ac:dyDescent="0.25">
      <c r="B51" s="11" t="s">
        <v>1213</v>
      </c>
    </row>
    <row r="52" spans="2:2" x14ac:dyDescent="0.25">
      <c r="B52" s="11" t="s">
        <v>1214</v>
      </c>
    </row>
    <row r="53" spans="2:2" x14ac:dyDescent="0.25">
      <c r="B53" s="11" t="s">
        <v>521</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1215</v>
      </c>
    </row>
    <row r="56" spans="2:2" x14ac:dyDescent="0.25">
      <c r="B56" s="11" t="s">
        <v>398</v>
      </c>
    </row>
    <row r="57" spans="2:2" x14ac:dyDescent="0.25">
      <c r="B57" s="443" t="s">
        <v>1665</v>
      </c>
    </row>
    <row r="58" spans="2:2" x14ac:dyDescent="0.25">
      <c r="B58" s="11" t="s">
        <v>1212</v>
      </c>
    </row>
    <row r="59" spans="2:2" x14ac:dyDescent="0.25">
      <c r="B59" s="11"/>
    </row>
    <row r="60" spans="2:2" x14ac:dyDescent="0.25">
      <c r="B60" s="1" t="s">
        <v>233</v>
      </c>
    </row>
    <row r="61" spans="2:2" x14ac:dyDescent="0.25">
      <c r="B61" s="11" t="s">
        <v>1223</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293</v>
      </c>
    </row>
    <row r="2" spans="1:10" x14ac:dyDescent="0.25">
      <c r="I2" s="501" t="s">
        <v>249</v>
      </c>
      <c r="J2" s="501"/>
    </row>
    <row r="3" spans="1:10" x14ac:dyDescent="0.25">
      <c r="B3" t="s">
        <v>318</v>
      </c>
    </row>
    <row r="5" spans="1:10" x14ac:dyDescent="0.25">
      <c r="B5" t="s">
        <v>313</v>
      </c>
    </row>
    <row r="6" spans="1:10" x14ac:dyDescent="0.25">
      <c r="B6" t="s">
        <v>319</v>
      </c>
    </row>
    <row r="7" spans="1:10" x14ac:dyDescent="0.25">
      <c r="F7" s="68" t="s">
        <v>227</v>
      </c>
      <c r="H7" s="68" t="s">
        <v>1829</v>
      </c>
    </row>
    <row r="8" spans="1:10" x14ac:dyDescent="0.25">
      <c r="B8" s="445" t="s">
        <v>1828</v>
      </c>
      <c r="C8" s="13"/>
      <c r="D8" s="13"/>
      <c r="E8" s="13"/>
      <c r="F8" s="513" t="s">
        <v>77</v>
      </c>
      <c r="G8" s="86"/>
      <c r="H8" s="513" t="s">
        <v>77</v>
      </c>
      <c r="I8" s="86"/>
    </row>
    <row r="9" spans="1:10" x14ac:dyDescent="0.25">
      <c r="B9" s="13"/>
      <c r="C9" s="13"/>
      <c r="D9" s="13"/>
      <c r="E9" s="13"/>
      <c r="F9" s="513" t="s">
        <v>77</v>
      </c>
      <c r="G9" s="86"/>
      <c r="H9" s="513" t="s">
        <v>77</v>
      </c>
      <c r="I9" s="86"/>
    </row>
    <row r="10" spans="1:10" x14ac:dyDescent="0.25">
      <c r="B10" s="13"/>
      <c r="C10" s="13"/>
      <c r="D10" s="13"/>
      <c r="E10" s="13"/>
      <c r="F10" s="867" t="s">
        <v>510</v>
      </c>
      <c r="G10" s="13"/>
      <c r="H10" s="867" t="s">
        <v>510</v>
      </c>
      <c r="I10" s="13"/>
    </row>
    <row r="12" spans="1:10" x14ac:dyDescent="0.25">
      <c r="B12" s="443" t="s">
        <v>380</v>
      </c>
    </row>
    <row r="13" spans="1:10" x14ac:dyDescent="0.25">
      <c r="B13" s="443"/>
    </row>
    <row r="14" spans="1:10" x14ac:dyDescent="0.25">
      <c r="B14" s="443" t="s">
        <v>378</v>
      </c>
    </row>
    <row r="15" spans="1:10" x14ac:dyDescent="0.25">
      <c r="B15" s="443" t="s">
        <v>379</v>
      </c>
    </row>
    <row r="16" spans="1:10" x14ac:dyDescent="0.25">
      <c r="B16" s="443"/>
      <c r="G16" s="547" t="s">
        <v>381</v>
      </c>
    </row>
    <row r="17" spans="1:10" x14ac:dyDescent="0.25">
      <c r="A17" s="44" t="s">
        <v>332</v>
      </c>
      <c r="G17" s="3" t="s">
        <v>64</v>
      </c>
      <c r="I17" s="44" t="s">
        <v>239</v>
      </c>
    </row>
    <row r="18" spans="1:10" x14ac:dyDescent="0.25">
      <c r="A18" s="547">
        <v>1</v>
      </c>
      <c r="F18" s="30" t="s">
        <v>314</v>
      </c>
      <c r="G18" s="940">
        <v>0</v>
      </c>
      <c r="I18" s="443" t="s">
        <v>390</v>
      </c>
    </row>
    <row r="19" spans="1:10" x14ac:dyDescent="0.25">
      <c r="A19" s="547">
        <v>2</v>
      </c>
      <c r="F19" s="441" t="s">
        <v>384</v>
      </c>
      <c r="G19" s="940">
        <v>0</v>
      </c>
      <c r="I19" s="443" t="s">
        <v>390</v>
      </c>
    </row>
    <row r="20" spans="1:10" x14ac:dyDescent="0.25">
      <c r="A20" s="547">
        <v>3</v>
      </c>
      <c r="F20" s="30" t="s">
        <v>316</v>
      </c>
      <c r="G20" s="940">
        <v>0</v>
      </c>
      <c r="I20" s="443" t="s">
        <v>390</v>
      </c>
    </row>
    <row r="21" spans="1:10" x14ac:dyDescent="0.25">
      <c r="A21" s="547">
        <v>4</v>
      </c>
      <c r="F21" s="30" t="s">
        <v>317</v>
      </c>
      <c r="G21" s="940">
        <v>0</v>
      </c>
      <c r="I21" s="443" t="str">
        <f>"Average of Lines "&amp;A19&amp;" and "&amp;A20&amp;"."</f>
        <v>Average of Lines 2 and 3.</v>
      </c>
    </row>
    <row r="22" spans="1:10" x14ac:dyDescent="0.25">
      <c r="A22" s="547">
        <v>5</v>
      </c>
      <c r="E22" s="445"/>
      <c r="F22" s="858" t="s">
        <v>2373</v>
      </c>
      <c r="G22" s="943">
        <v>0</v>
      </c>
      <c r="H22" s="445"/>
      <c r="I22" s="445" t="s">
        <v>390</v>
      </c>
      <c r="J22" s="445"/>
    </row>
    <row r="23" spans="1:10" x14ac:dyDescent="0.25">
      <c r="I23" s="443"/>
    </row>
    <row r="25" spans="1:10" x14ac:dyDescent="0.25">
      <c r="A25" s="547">
        <v>6</v>
      </c>
      <c r="C25" s="1" t="s">
        <v>508</v>
      </c>
      <c r="D25" s="453" t="s">
        <v>509</v>
      </c>
      <c r="G25" s="131" t="s">
        <v>511</v>
      </c>
      <c r="H25" s="453" t="s">
        <v>509</v>
      </c>
      <c r="I25" s="549"/>
      <c r="J25" s="445"/>
    </row>
    <row r="26" spans="1:10" x14ac:dyDescent="0.25">
      <c r="A26" s="547"/>
      <c r="C26" s="1"/>
      <c r="D26" s="445"/>
      <c r="E26" s="13"/>
      <c r="G26" s="549"/>
      <c r="H26" s="445"/>
      <c r="I26" s="549"/>
      <c r="J26" s="445"/>
    </row>
    <row r="27" spans="1:10" x14ac:dyDescent="0.25">
      <c r="D27" s="94" t="s">
        <v>1700</v>
      </c>
      <c r="E27" s="94" t="s">
        <v>375</v>
      </c>
      <c r="F27" s="13"/>
      <c r="G27" s="13"/>
      <c r="H27" s="94" t="s">
        <v>1700</v>
      </c>
      <c r="I27" s="547" t="s">
        <v>375</v>
      </c>
      <c r="J27" s="94"/>
    </row>
    <row r="28" spans="1:10" x14ac:dyDescent="0.25">
      <c r="C28" s="547" t="s">
        <v>302</v>
      </c>
      <c r="D28" s="94" t="s">
        <v>375</v>
      </c>
      <c r="E28" s="94" t="s">
        <v>376</v>
      </c>
      <c r="F28" s="13"/>
      <c r="G28" s="94" t="s">
        <v>302</v>
      </c>
      <c r="H28" s="94" t="s">
        <v>375</v>
      </c>
      <c r="I28" s="547" t="s">
        <v>376</v>
      </c>
      <c r="J28" s="94"/>
    </row>
    <row r="29" spans="1:10" x14ac:dyDescent="0.25">
      <c r="C29" s="547" t="s">
        <v>375</v>
      </c>
      <c r="D29" s="94" t="s">
        <v>376</v>
      </c>
      <c r="E29" s="94" t="s">
        <v>377</v>
      </c>
      <c r="F29" s="13"/>
      <c r="G29" s="94" t="s">
        <v>375</v>
      </c>
      <c r="H29" s="94" t="s">
        <v>376</v>
      </c>
      <c r="I29" s="547" t="s">
        <v>377</v>
      </c>
      <c r="J29" s="94"/>
    </row>
    <row r="30" spans="1:10" x14ac:dyDescent="0.25">
      <c r="A30" s="547"/>
      <c r="B30" s="3" t="s">
        <v>194</v>
      </c>
      <c r="C30" s="3" t="s">
        <v>376</v>
      </c>
      <c r="D30" s="104" t="s">
        <v>1701</v>
      </c>
      <c r="E30" s="104" t="s">
        <v>326</v>
      </c>
      <c r="F30" s="13"/>
      <c r="G30" s="104" t="s">
        <v>376</v>
      </c>
      <c r="H30" s="104" t="s">
        <v>1701</v>
      </c>
      <c r="I30" s="3" t="s">
        <v>326</v>
      </c>
      <c r="J30" s="104"/>
    </row>
    <row r="31" spans="1:10" x14ac:dyDescent="0.25">
      <c r="A31" s="547">
        <v>7</v>
      </c>
      <c r="B31" s="462">
        <v>2015</v>
      </c>
      <c r="C31" s="922">
        <v>0</v>
      </c>
      <c r="D31" s="922">
        <v>0</v>
      </c>
      <c r="E31" s="922">
        <v>0</v>
      </c>
      <c r="G31" s="922">
        <v>0</v>
      </c>
      <c r="H31" s="922">
        <v>0</v>
      </c>
      <c r="I31" s="922">
        <v>0</v>
      </c>
      <c r="J31" s="13"/>
    </row>
    <row r="32" spans="1:10" x14ac:dyDescent="0.25">
      <c r="A32" s="547">
        <v>8</v>
      </c>
      <c r="B32" s="462">
        <v>2016</v>
      </c>
      <c r="C32" s="922">
        <v>0</v>
      </c>
      <c r="D32" s="922">
        <v>0</v>
      </c>
      <c r="E32" s="922">
        <v>0</v>
      </c>
      <c r="G32" s="922">
        <v>0</v>
      </c>
      <c r="H32" s="922">
        <v>0</v>
      </c>
      <c r="I32" s="922">
        <v>0</v>
      </c>
      <c r="J32" s="13"/>
    </row>
    <row r="33" spans="1:10" x14ac:dyDescent="0.25">
      <c r="A33" s="547">
        <v>9</v>
      </c>
      <c r="B33" s="462">
        <v>2017</v>
      </c>
      <c r="C33" s="922">
        <v>0</v>
      </c>
      <c r="D33" s="922">
        <v>0</v>
      </c>
      <c r="E33" s="922">
        <v>0</v>
      </c>
      <c r="G33" s="922">
        <v>0</v>
      </c>
      <c r="H33" s="922">
        <v>0</v>
      </c>
      <c r="I33" s="922">
        <v>0</v>
      </c>
      <c r="J33" s="13"/>
    </row>
    <row r="34" spans="1:10" x14ac:dyDescent="0.25">
      <c r="A34" s="547">
        <v>10</v>
      </c>
      <c r="B34" s="462">
        <v>2018</v>
      </c>
      <c r="C34" s="922">
        <v>0</v>
      </c>
      <c r="D34" s="922">
        <v>0</v>
      </c>
      <c r="E34" s="922">
        <v>0</v>
      </c>
      <c r="G34" s="922">
        <v>0</v>
      </c>
      <c r="H34" s="922">
        <v>0</v>
      </c>
      <c r="I34" s="922">
        <v>0</v>
      </c>
      <c r="J34" s="13"/>
    </row>
    <row r="35" spans="1:10" x14ac:dyDescent="0.25">
      <c r="A35" s="547">
        <v>11</v>
      </c>
      <c r="B35" s="462">
        <v>2019</v>
      </c>
      <c r="C35" s="922">
        <v>0</v>
      </c>
      <c r="D35" s="922">
        <v>0</v>
      </c>
      <c r="E35" s="922">
        <v>0</v>
      </c>
      <c r="G35" s="922">
        <v>0</v>
      </c>
      <c r="H35" s="922">
        <v>0</v>
      </c>
      <c r="I35" s="922">
        <v>0</v>
      </c>
      <c r="J35" s="13"/>
    </row>
    <row r="36" spans="1:10" x14ac:dyDescent="0.25">
      <c r="A36" s="547">
        <v>12</v>
      </c>
      <c r="B36" s="462">
        <v>2020</v>
      </c>
      <c r="C36" s="922">
        <v>0</v>
      </c>
      <c r="D36" s="922">
        <v>0</v>
      </c>
      <c r="E36" s="922">
        <v>0</v>
      </c>
      <c r="G36" s="922">
        <v>0</v>
      </c>
      <c r="H36" s="922">
        <v>0</v>
      </c>
      <c r="I36" s="922">
        <v>0</v>
      </c>
      <c r="J36" s="13"/>
    </row>
    <row r="37" spans="1:10" x14ac:dyDescent="0.25">
      <c r="A37" s="547">
        <v>13</v>
      </c>
      <c r="B37" s="462">
        <v>2021</v>
      </c>
      <c r="C37" s="922">
        <v>0</v>
      </c>
      <c r="D37" s="922">
        <v>0</v>
      </c>
      <c r="E37" s="922">
        <v>0</v>
      </c>
      <c r="G37" s="922">
        <v>0</v>
      </c>
      <c r="H37" s="922">
        <v>0</v>
      </c>
      <c r="I37" s="922">
        <v>0</v>
      </c>
      <c r="J37" s="13"/>
    </row>
    <row r="38" spans="1:10" x14ac:dyDescent="0.25">
      <c r="A38" s="547">
        <v>14</v>
      </c>
      <c r="B38" s="462">
        <v>2022</v>
      </c>
      <c r="C38" s="922">
        <v>0</v>
      </c>
      <c r="D38" s="922">
        <v>0</v>
      </c>
      <c r="E38" s="922">
        <v>0</v>
      </c>
      <c r="G38" s="922">
        <v>0</v>
      </c>
      <c r="H38" s="922">
        <v>0</v>
      </c>
      <c r="I38" s="922">
        <v>0</v>
      </c>
      <c r="J38" s="13"/>
    </row>
    <row r="39" spans="1:10" x14ac:dyDescent="0.25">
      <c r="A39" s="547">
        <v>15</v>
      </c>
      <c r="B39" s="462">
        <v>2023</v>
      </c>
      <c r="C39" s="922">
        <v>0</v>
      </c>
      <c r="D39" s="922">
        <v>0</v>
      </c>
      <c r="E39" s="922">
        <v>0</v>
      </c>
      <c r="G39" s="922">
        <v>0</v>
      </c>
      <c r="H39" s="922">
        <v>0</v>
      </c>
      <c r="I39" s="922">
        <v>0</v>
      </c>
      <c r="J39" s="13"/>
    </row>
    <row r="40" spans="1:10" x14ac:dyDescent="0.25">
      <c r="A40" s="547">
        <v>16</v>
      </c>
      <c r="B40" s="462">
        <v>2024</v>
      </c>
      <c r="C40" s="922">
        <v>0</v>
      </c>
      <c r="D40" s="922">
        <v>0</v>
      </c>
      <c r="E40" s="922">
        <v>0</v>
      </c>
      <c r="G40" s="922">
        <v>0</v>
      </c>
      <c r="H40" s="922">
        <v>0</v>
      </c>
      <c r="I40" s="922">
        <v>0</v>
      </c>
      <c r="J40" s="13"/>
    </row>
    <row r="41" spans="1:10" x14ac:dyDescent="0.25">
      <c r="A41" s="547">
        <v>17</v>
      </c>
      <c r="B41" s="462">
        <v>2025</v>
      </c>
      <c r="C41" s="922">
        <v>0</v>
      </c>
      <c r="D41" s="922">
        <v>0</v>
      </c>
      <c r="E41" s="922">
        <v>0</v>
      </c>
      <c r="G41" s="922">
        <v>0</v>
      </c>
      <c r="H41" s="922">
        <v>0</v>
      </c>
      <c r="I41" s="922">
        <v>0</v>
      </c>
      <c r="J41" s="13"/>
    </row>
    <row r="42" spans="1:10" x14ac:dyDescent="0.25">
      <c r="A42" s="547">
        <v>18</v>
      </c>
      <c r="B42" s="550" t="s">
        <v>510</v>
      </c>
    </row>
    <row r="43" spans="1:10" x14ac:dyDescent="0.25">
      <c r="A43" s="547"/>
      <c r="B43" s="550"/>
    </row>
    <row r="44" spans="1:10" x14ac:dyDescent="0.25">
      <c r="A44" s="547"/>
      <c r="B44" s="38" t="s">
        <v>233</v>
      </c>
      <c r="C44" s="13"/>
      <c r="D44" s="13"/>
      <c r="E44" s="13"/>
      <c r="F44" s="13"/>
      <c r="G44" s="13"/>
      <c r="H44" s="13"/>
      <c r="I44" s="13"/>
      <c r="J44" s="13"/>
    </row>
    <row r="45" spans="1:10" x14ac:dyDescent="0.25">
      <c r="A45" s="547"/>
      <c r="B45" s="445" t="s">
        <v>1702</v>
      </c>
      <c r="C45" s="13"/>
      <c r="D45" s="13"/>
      <c r="E45" s="13"/>
      <c r="F45" s="13"/>
      <c r="G45" s="13"/>
      <c r="H45" s="13"/>
      <c r="I45" s="13"/>
      <c r="J45" s="13"/>
    </row>
    <row r="46" spans="1:10" x14ac:dyDescent="0.25">
      <c r="A46" s="547"/>
      <c r="B46" s="13"/>
      <c r="C46" s="13"/>
      <c r="D46" s="13"/>
      <c r="E46" s="13"/>
      <c r="F46" s="13"/>
      <c r="G46" s="13"/>
      <c r="H46" s="13"/>
      <c r="I46" s="13"/>
      <c r="J46" s="13"/>
    </row>
    <row r="47" spans="1:10" x14ac:dyDescent="0.25">
      <c r="A47" s="547"/>
      <c r="B47" s="38" t="s">
        <v>382</v>
      </c>
      <c r="C47" s="13"/>
      <c r="D47" s="13"/>
      <c r="E47" s="13"/>
      <c r="F47" s="13"/>
      <c r="G47" s="13"/>
      <c r="H47" s="13"/>
      <c r="I47" s="13"/>
      <c r="J47" s="13"/>
    </row>
    <row r="48" spans="1:10" x14ac:dyDescent="0.25">
      <c r="A48" s="547"/>
      <c r="B48" s="445" t="s">
        <v>383</v>
      </c>
      <c r="C48" s="13"/>
      <c r="D48" s="13"/>
      <c r="E48" s="13"/>
      <c r="F48" s="13"/>
      <c r="G48" s="13"/>
      <c r="H48" s="13"/>
      <c r="I48" s="13"/>
      <c r="J48" s="13"/>
    </row>
    <row r="49" spans="1:10" x14ac:dyDescent="0.25">
      <c r="A49" s="547"/>
      <c r="B49" s="442" t="s">
        <v>1703</v>
      </c>
      <c r="C49" s="13"/>
      <c r="D49" s="13"/>
      <c r="E49" s="13"/>
      <c r="F49" s="13"/>
      <c r="G49" s="13"/>
      <c r="H49" s="13"/>
      <c r="I49" s="13"/>
      <c r="J49" s="13"/>
    </row>
    <row r="50" spans="1:10" x14ac:dyDescent="0.25">
      <c r="A50" s="547"/>
      <c r="B50" s="442" t="s">
        <v>1704</v>
      </c>
      <c r="C50" s="13"/>
      <c r="D50" s="13"/>
      <c r="E50" s="13"/>
      <c r="F50" s="13"/>
      <c r="G50" s="13"/>
      <c r="H50" s="13"/>
      <c r="I50" s="13"/>
      <c r="J50" s="13"/>
    </row>
    <row r="51" spans="1:10" x14ac:dyDescent="0.25">
      <c r="A51" s="547"/>
      <c r="B51" s="447" t="s">
        <v>388</v>
      </c>
    </row>
    <row r="52" spans="1:10" x14ac:dyDescent="0.25">
      <c r="A52" s="547"/>
      <c r="B52" s="442" t="s">
        <v>389</v>
      </c>
      <c r="C52" s="13"/>
      <c r="D52" s="13"/>
      <c r="E52" s="13"/>
      <c r="F52" s="13"/>
      <c r="G52" s="13"/>
      <c r="H52" s="13"/>
      <c r="I52" s="13"/>
    </row>
    <row r="53" spans="1:10" x14ac:dyDescent="0.25">
      <c r="B53" s="447" t="s">
        <v>386</v>
      </c>
      <c r="C53" s="13"/>
      <c r="D53" s="13"/>
      <c r="E53" s="13"/>
      <c r="F53" s="13"/>
      <c r="G53" s="13"/>
    </row>
    <row r="54" spans="1:10" x14ac:dyDescent="0.25">
      <c r="B54" s="537" t="s">
        <v>512</v>
      </c>
      <c r="C54" s="13"/>
      <c r="D54" s="13"/>
      <c r="E54" s="13"/>
      <c r="F54" s="13"/>
      <c r="G54" s="13"/>
    </row>
    <row r="55" spans="1:10" x14ac:dyDescent="0.25">
      <c r="B55" s="445" t="s">
        <v>387</v>
      </c>
    </row>
    <row r="56" spans="1:10" x14ac:dyDescent="0.25">
      <c r="B56" s="445" t="s">
        <v>2372</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topLeftCell="A22"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37" t="s">
        <v>17</v>
      </c>
    </row>
    <row r="3" spans="1:7" x14ac:dyDescent="0.25">
      <c r="B3" s="1" t="s">
        <v>160</v>
      </c>
    </row>
    <row r="4" spans="1:7" x14ac:dyDescent="0.25">
      <c r="C4" s="443" t="s">
        <v>556</v>
      </c>
      <c r="E4" s="1064"/>
      <c r="F4" s="1065"/>
      <c r="G4" s="1066"/>
    </row>
    <row r="5" spans="1:7" x14ac:dyDescent="0.25">
      <c r="C5" s="443" t="s">
        <v>557</v>
      </c>
      <c r="E5" s="1064"/>
      <c r="F5" s="1065"/>
      <c r="G5" s="1066"/>
    </row>
    <row r="6" spans="1:7" x14ac:dyDescent="0.25">
      <c r="E6" s="1064"/>
      <c r="F6" s="1067"/>
      <c r="G6" s="1066"/>
    </row>
    <row r="7" spans="1:7" x14ac:dyDescent="0.25">
      <c r="C7" s="608"/>
      <c r="D7" s="577"/>
      <c r="E7" s="620" t="s">
        <v>195</v>
      </c>
      <c r="F7" s="620" t="s">
        <v>1688</v>
      </c>
      <c r="G7" s="620"/>
    </row>
    <row r="8" spans="1:7" x14ac:dyDescent="0.25">
      <c r="A8" s="46" t="s">
        <v>322</v>
      </c>
      <c r="C8" s="605" t="s">
        <v>193</v>
      </c>
      <c r="D8" s="605" t="s">
        <v>194</v>
      </c>
      <c r="E8" s="605" t="s">
        <v>180</v>
      </c>
      <c r="F8" s="616" t="s">
        <v>1687</v>
      </c>
      <c r="G8" s="1068" t="s">
        <v>169</v>
      </c>
    </row>
    <row r="9" spans="1:7" x14ac:dyDescent="0.25">
      <c r="A9" s="94">
        <v>1</v>
      </c>
      <c r="C9" s="1069" t="s">
        <v>181</v>
      </c>
      <c r="D9" s="934" t="s">
        <v>1388</v>
      </c>
      <c r="E9" s="1070" t="s">
        <v>555</v>
      </c>
      <c r="F9" s="922">
        <v>0</v>
      </c>
      <c r="G9" s="1070" t="s">
        <v>86</v>
      </c>
    </row>
    <row r="10" spans="1:7" x14ac:dyDescent="0.25">
      <c r="A10" s="94">
        <f>A9+1</f>
        <v>2</v>
      </c>
      <c r="C10" s="1069" t="s">
        <v>182</v>
      </c>
      <c r="D10" s="934" t="s">
        <v>1388</v>
      </c>
      <c r="E10" s="1070" t="s">
        <v>33</v>
      </c>
      <c r="F10" s="922">
        <v>0</v>
      </c>
      <c r="G10" s="1070"/>
    </row>
    <row r="11" spans="1:7" x14ac:dyDescent="0.25">
      <c r="A11" s="94">
        <f t="shared" ref="A11:A21" si="0">A10+1</f>
        <v>3</v>
      </c>
      <c r="C11" s="1069" t="s">
        <v>183</v>
      </c>
      <c r="D11" s="934" t="s">
        <v>1388</v>
      </c>
      <c r="E11" s="1070" t="s">
        <v>33</v>
      </c>
      <c r="F11" s="922">
        <v>0</v>
      </c>
      <c r="G11" s="1070"/>
    </row>
    <row r="12" spans="1:7" x14ac:dyDescent="0.25">
      <c r="A12" s="94">
        <f t="shared" si="0"/>
        <v>4</v>
      </c>
      <c r="C12" s="1069" t="s">
        <v>196</v>
      </c>
      <c r="D12" s="934" t="s">
        <v>1388</v>
      </c>
      <c r="E12" s="1070" t="s">
        <v>33</v>
      </c>
      <c r="F12" s="922">
        <v>0</v>
      </c>
      <c r="G12" s="1070"/>
    </row>
    <row r="13" spans="1:7" x14ac:dyDescent="0.25">
      <c r="A13" s="94">
        <f t="shared" si="0"/>
        <v>5</v>
      </c>
      <c r="C13" s="1069" t="s">
        <v>184</v>
      </c>
      <c r="D13" s="934" t="s">
        <v>1388</v>
      </c>
      <c r="E13" s="1070" t="s">
        <v>33</v>
      </c>
      <c r="F13" s="922">
        <v>0</v>
      </c>
      <c r="G13" s="1070"/>
    </row>
    <row r="14" spans="1:7" x14ac:dyDescent="0.25">
      <c r="A14" s="94">
        <f t="shared" si="0"/>
        <v>6</v>
      </c>
      <c r="C14" s="1069" t="s">
        <v>185</v>
      </c>
      <c r="D14" s="934" t="s">
        <v>1388</v>
      </c>
      <c r="E14" s="1070" t="s">
        <v>33</v>
      </c>
      <c r="F14" s="922">
        <v>0</v>
      </c>
      <c r="G14" s="1070"/>
    </row>
    <row r="15" spans="1:7" x14ac:dyDescent="0.25">
      <c r="A15" s="94">
        <f t="shared" si="0"/>
        <v>7</v>
      </c>
      <c r="C15" s="1069" t="s">
        <v>1475</v>
      </c>
      <c r="D15" s="934" t="s">
        <v>1388</v>
      </c>
      <c r="E15" s="1070" t="s">
        <v>33</v>
      </c>
      <c r="F15" s="922">
        <v>0</v>
      </c>
      <c r="G15" s="1070"/>
    </row>
    <row r="16" spans="1:7" x14ac:dyDescent="0.25">
      <c r="A16" s="94">
        <f t="shared" si="0"/>
        <v>8</v>
      </c>
      <c r="C16" s="1069" t="s">
        <v>187</v>
      </c>
      <c r="D16" s="934" t="s">
        <v>1388</v>
      </c>
      <c r="E16" s="1070" t="s">
        <v>33</v>
      </c>
      <c r="F16" s="922">
        <v>0</v>
      </c>
      <c r="G16" s="1070"/>
    </row>
    <row r="17" spans="1:7" x14ac:dyDescent="0.25">
      <c r="A17" s="94">
        <f t="shared" si="0"/>
        <v>9</v>
      </c>
      <c r="C17" s="1069" t="s">
        <v>188</v>
      </c>
      <c r="D17" s="934" t="s">
        <v>1388</v>
      </c>
      <c r="E17" s="1070" t="s">
        <v>33</v>
      </c>
      <c r="F17" s="922">
        <v>0</v>
      </c>
      <c r="G17" s="1070"/>
    </row>
    <row r="18" spans="1:7" x14ac:dyDescent="0.25">
      <c r="A18" s="94">
        <f t="shared" si="0"/>
        <v>10</v>
      </c>
      <c r="C18" s="1069" t="s">
        <v>189</v>
      </c>
      <c r="D18" s="934" t="s">
        <v>1388</v>
      </c>
      <c r="E18" s="1070" t="s">
        <v>33</v>
      </c>
      <c r="F18" s="922">
        <v>0</v>
      </c>
      <c r="G18" s="1070"/>
    </row>
    <row r="19" spans="1:7" x14ac:dyDescent="0.25">
      <c r="A19" s="94">
        <f t="shared" si="0"/>
        <v>11</v>
      </c>
      <c r="C19" s="1069" t="s">
        <v>192</v>
      </c>
      <c r="D19" s="934" t="s">
        <v>1388</v>
      </c>
      <c r="E19" s="1070" t="s">
        <v>33</v>
      </c>
      <c r="F19" s="922">
        <v>0</v>
      </c>
      <c r="G19" s="1070"/>
    </row>
    <row r="20" spans="1:7" x14ac:dyDescent="0.25">
      <c r="A20" s="94">
        <f t="shared" si="0"/>
        <v>12</v>
      </c>
      <c r="C20" s="1069" t="s">
        <v>191</v>
      </c>
      <c r="D20" s="934" t="s">
        <v>1388</v>
      </c>
      <c r="E20" s="1070" t="s">
        <v>33</v>
      </c>
      <c r="F20" s="922">
        <v>0</v>
      </c>
      <c r="G20" s="1070"/>
    </row>
    <row r="21" spans="1:7" x14ac:dyDescent="0.25">
      <c r="A21" s="94">
        <f t="shared" si="0"/>
        <v>13</v>
      </c>
      <c r="C21" s="608" t="s">
        <v>181</v>
      </c>
      <c r="D21" s="934" t="s">
        <v>1388</v>
      </c>
      <c r="E21" s="1070" t="s">
        <v>554</v>
      </c>
      <c r="F21" s="922">
        <v>0</v>
      </c>
      <c r="G21" s="15" t="s">
        <v>90</v>
      </c>
    </row>
    <row r="22" spans="1:7" x14ac:dyDescent="0.25">
      <c r="A22" s="13"/>
      <c r="C22" s="612"/>
      <c r="D22" s="612"/>
      <c r="E22" s="901"/>
      <c r="F22" s="13"/>
      <c r="G22" s="1070"/>
    </row>
    <row r="23" spans="1:7" x14ac:dyDescent="0.25">
      <c r="A23" s="94">
        <f>A21+1</f>
        <v>14</v>
      </c>
      <c r="C23" s="612"/>
      <c r="D23" s="612"/>
      <c r="E23" s="1071" t="s">
        <v>1840</v>
      </c>
      <c r="F23" s="940">
        <v>0</v>
      </c>
      <c r="G23" s="96" t="str">
        <f>"(Sum Line "&amp;A9&amp;" to Line "&amp;A21&amp;") / 13"</f>
        <v>(Sum Line 1 to Line 13) / 13</v>
      </c>
    </row>
    <row r="24" spans="1:7" x14ac:dyDescent="0.25">
      <c r="A24" s="94">
        <f>A23+1</f>
        <v>15</v>
      </c>
      <c r="C24" s="612"/>
      <c r="D24" s="612"/>
      <c r="E24" s="1071" t="s">
        <v>312</v>
      </c>
      <c r="F24" s="926" t="s">
        <v>2193</v>
      </c>
      <c r="G24" s="96" t="str">
        <f>"27-Allocators, Line "&amp;'27-Allocators'!A15&amp;""</f>
        <v>27-Allocators, Line 9</v>
      </c>
    </row>
    <row r="25" spans="1:7" x14ac:dyDescent="0.25">
      <c r="A25" s="13"/>
      <c r="C25" s="13"/>
      <c r="D25" s="612"/>
      <c r="E25" s="1071"/>
      <c r="F25" s="1072"/>
      <c r="G25" s="96"/>
    </row>
    <row r="26" spans="1:7" x14ac:dyDescent="0.25">
      <c r="A26" s="94">
        <f>A24+1</f>
        <v>16</v>
      </c>
      <c r="C26" s="612" t="s">
        <v>92</v>
      </c>
      <c r="D26" s="612"/>
      <c r="E26" s="858" t="s">
        <v>157</v>
      </c>
      <c r="F26" s="940">
        <v>0</v>
      </c>
      <c r="G26" s="442" t="str">
        <f>"Line "&amp;A21&amp;" * Line "&amp;A24&amp;""</f>
        <v>Line 13 * Line 15</v>
      </c>
    </row>
    <row r="27" spans="1:7" x14ac:dyDescent="0.25">
      <c r="A27" s="94">
        <f>A26+1</f>
        <v>17</v>
      </c>
      <c r="C27" s="612"/>
      <c r="D27" s="612"/>
      <c r="E27" s="1071" t="s">
        <v>1841</v>
      </c>
      <c r="F27" s="940">
        <v>0</v>
      </c>
      <c r="G27" s="442" t="str">
        <f>"Line "&amp;A23&amp;" * Line "&amp;A24&amp;""</f>
        <v>Line 14 * Line 15</v>
      </c>
    </row>
    <row r="28" spans="1:7" x14ac:dyDescent="0.25">
      <c r="A28" s="13"/>
      <c r="C28" s="13"/>
      <c r="D28" s="13"/>
      <c r="E28" s="13"/>
      <c r="F28" s="13"/>
      <c r="G28" s="13"/>
    </row>
    <row r="29" spans="1:7" x14ac:dyDescent="0.25">
      <c r="A29" s="13"/>
      <c r="B29" s="1" t="s">
        <v>159</v>
      </c>
      <c r="C29" s="13"/>
      <c r="D29" s="13"/>
      <c r="E29" s="13"/>
      <c r="F29" s="13"/>
      <c r="G29" s="13"/>
    </row>
    <row r="30" spans="1:7" x14ac:dyDescent="0.25">
      <c r="A30" s="13"/>
      <c r="C30" s="13" t="s">
        <v>7</v>
      </c>
      <c r="D30" s="13"/>
      <c r="E30" s="901"/>
      <c r="F30" s="1065"/>
      <c r="G30" s="1066"/>
    </row>
    <row r="31" spans="1:7" x14ac:dyDescent="0.25">
      <c r="A31" s="13"/>
      <c r="C31" s="13" t="s">
        <v>1776</v>
      </c>
      <c r="D31" s="13"/>
      <c r="E31" s="901"/>
      <c r="F31" s="1065"/>
      <c r="G31" s="1066"/>
    </row>
    <row r="32" spans="1:7" x14ac:dyDescent="0.25">
      <c r="A32" s="13"/>
      <c r="C32" s="608"/>
      <c r="D32" s="587"/>
      <c r="E32" s="621" t="s">
        <v>195</v>
      </c>
      <c r="F32" s="1067" t="s">
        <v>245</v>
      </c>
      <c r="G32" s="621"/>
    </row>
    <row r="33" spans="1:7" x14ac:dyDescent="0.25">
      <c r="A33" s="13"/>
      <c r="C33" s="1068" t="s">
        <v>193</v>
      </c>
      <c r="D33" s="1068" t="s">
        <v>194</v>
      </c>
      <c r="E33" s="1068" t="s">
        <v>180</v>
      </c>
      <c r="F33" s="623" t="s">
        <v>2</v>
      </c>
      <c r="G33" s="1068" t="s">
        <v>169</v>
      </c>
    </row>
    <row r="34" spans="1:7" x14ac:dyDescent="0.25">
      <c r="A34" s="94">
        <f>A27+1</f>
        <v>18</v>
      </c>
      <c r="C34" s="1069" t="s">
        <v>181</v>
      </c>
      <c r="D34" s="934" t="s">
        <v>1388</v>
      </c>
      <c r="E34" s="1070" t="s">
        <v>2380</v>
      </c>
      <c r="F34" s="943">
        <v>0</v>
      </c>
      <c r="G34" s="1070" t="s">
        <v>2381</v>
      </c>
    </row>
    <row r="35" spans="1:7" x14ac:dyDescent="0.25">
      <c r="A35" s="94">
        <f>A34+1</f>
        <v>19</v>
      </c>
      <c r="C35" s="1069" t="s">
        <v>182</v>
      </c>
      <c r="D35" s="934" t="s">
        <v>1388</v>
      </c>
      <c r="E35" s="1070" t="s">
        <v>33</v>
      </c>
      <c r="F35" s="1052">
        <v>0</v>
      </c>
      <c r="G35" s="1070"/>
    </row>
    <row r="36" spans="1:7" x14ac:dyDescent="0.25">
      <c r="A36" s="94">
        <f t="shared" ref="A36:A46" si="1">A35+1</f>
        <v>20</v>
      </c>
      <c r="C36" s="1069" t="s">
        <v>183</v>
      </c>
      <c r="D36" s="934" t="s">
        <v>1388</v>
      </c>
      <c r="E36" s="1070" t="s">
        <v>33</v>
      </c>
      <c r="F36" s="1052">
        <v>0</v>
      </c>
      <c r="G36" s="1070"/>
    </row>
    <row r="37" spans="1:7" x14ac:dyDescent="0.25">
      <c r="A37" s="94">
        <f t="shared" si="1"/>
        <v>21</v>
      </c>
      <c r="C37" s="1069" t="s">
        <v>196</v>
      </c>
      <c r="D37" s="934" t="s">
        <v>1388</v>
      </c>
      <c r="E37" s="1070" t="s">
        <v>33</v>
      </c>
      <c r="F37" s="1052">
        <v>0</v>
      </c>
      <c r="G37" s="1070"/>
    </row>
    <row r="38" spans="1:7" x14ac:dyDescent="0.25">
      <c r="A38" s="94">
        <f t="shared" si="1"/>
        <v>22</v>
      </c>
      <c r="C38" s="1069" t="s">
        <v>184</v>
      </c>
      <c r="D38" s="934" t="s">
        <v>1388</v>
      </c>
      <c r="E38" s="1070" t="s">
        <v>33</v>
      </c>
      <c r="F38" s="1052">
        <v>0</v>
      </c>
      <c r="G38" s="1070"/>
    </row>
    <row r="39" spans="1:7" x14ac:dyDescent="0.25">
      <c r="A39" s="94">
        <f t="shared" si="1"/>
        <v>23</v>
      </c>
      <c r="C39" s="1069" t="s">
        <v>185</v>
      </c>
      <c r="D39" s="934" t="s">
        <v>1388</v>
      </c>
      <c r="E39" s="1070" t="s">
        <v>33</v>
      </c>
      <c r="F39" s="1052">
        <v>0</v>
      </c>
      <c r="G39" s="1070"/>
    </row>
    <row r="40" spans="1:7" x14ac:dyDescent="0.25">
      <c r="A40" s="94">
        <f t="shared" si="1"/>
        <v>24</v>
      </c>
      <c r="C40" s="1069" t="s">
        <v>1475</v>
      </c>
      <c r="D40" s="934" t="s">
        <v>1388</v>
      </c>
      <c r="E40" s="1070" t="s">
        <v>33</v>
      </c>
      <c r="F40" s="1052">
        <v>0</v>
      </c>
      <c r="G40" s="1070"/>
    </row>
    <row r="41" spans="1:7" x14ac:dyDescent="0.25">
      <c r="A41" s="94">
        <f t="shared" si="1"/>
        <v>25</v>
      </c>
      <c r="C41" s="1069" t="s">
        <v>187</v>
      </c>
      <c r="D41" s="934" t="s">
        <v>1388</v>
      </c>
      <c r="E41" s="1070" t="s">
        <v>33</v>
      </c>
      <c r="F41" s="1052">
        <v>0</v>
      </c>
      <c r="G41" s="1070"/>
    </row>
    <row r="42" spans="1:7" x14ac:dyDescent="0.25">
      <c r="A42" s="94">
        <f t="shared" si="1"/>
        <v>26</v>
      </c>
      <c r="C42" s="1069" t="s">
        <v>188</v>
      </c>
      <c r="D42" s="934" t="s">
        <v>1388</v>
      </c>
      <c r="E42" s="1070" t="s">
        <v>33</v>
      </c>
      <c r="F42" s="1052">
        <v>0</v>
      </c>
      <c r="G42" s="1070"/>
    </row>
    <row r="43" spans="1:7" x14ac:dyDescent="0.25">
      <c r="A43" s="94">
        <f t="shared" si="1"/>
        <v>27</v>
      </c>
      <c r="C43" s="1069" t="s">
        <v>189</v>
      </c>
      <c r="D43" s="934" t="s">
        <v>1388</v>
      </c>
      <c r="E43" s="1070" t="s">
        <v>33</v>
      </c>
      <c r="F43" s="1052">
        <v>0</v>
      </c>
      <c r="G43" s="1070"/>
    </row>
    <row r="44" spans="1:7" x14ac:dyDescent="0.25">
      <c r="A44" s="94">
        <f t="shared" si="1"/>
        <v>28</v>
      </c>
      <c r="C44" s="1069" t="s">
        <v>192</v>
      </c>
      <c r="D44" s="934" t="s">
        <v>1388</v>
      </c>
      <c r="E44" s="1070" t="s">
        <v>33</v>
      </c>
      <c r="F44" s="1052">
        <v>0</v>
      </c>
      <c r="G44" s="1070"/>
    </row>
    <row r="45" spans="1:7" x14ac:dyDescent="0.25">
      <c r="A45" s="94">
        <f t="shared" si="1"/>
        <v>29</v>
      </c>
      <c r="C45" s="1069" t="s">
        <v>191</v>
      </c>
      <c r="D45" s="934" t="s">
        <v>1388</v>
      </c>
      <c r="E45" s="1070" t="s">
        <v>33</v>
      </c>
      <c r="F45" s="1052">
        <v>0</v>
      </c>
      <c r="G45" s="1070"/>
    </row>
    <row r="46" spans="1:7" x14ac:dyDescent="0.25">
      <c r="A46" s="94">
        <f t="shared" si="1"/>
        <v>30</v>
      </c>
      <c r="C46" s="608" t="s">
        <v>181</v>
      </c>
      <c r="D46" s="934" t="s">
        <v>1388</v>
      </c>
      <c r="E46" s="1070" t="s">
        <v>2382</v>
      </c>
      <c r="F46" s="943">
        <v>0</v>
      </c>
      <c r="G46" s="1070" t="s">
        <v>2383</v>
      </c>
    </row>
    <row r="47" spans="1:7" x14ac:dyDescent="0.25">
      <c r="A47" s="13"/>
      <c r="C47" s="608"/>
      <c r="D47" s="1073"/>
      <c r="E47" s="1074"/>
      <c r="F47" s="1072"/>
      <c r="G47" s="15"/>
    </row>
    <row r="48" spans="1:7" x14ac:dyDescent="0.25">
      <c r="A48" s="13"/>
      <c r="C48" s="612" t="s">
        <v>1774</v>
      </c>
      <c r="D48" s="612"/>
      <c r="E48" s="901"/>
      <c r="F48" s="13"/>
      <c r="G48" s="1070"/>
    </row>
    <row r="49" spans="1:8" x14ac:dyDescent="0.25">
      <c r="A49" s="94">
        <f>A46+1</f>
        <v>31</v>
      </c>
      <c r="C49" s="612"/>
      <c r="D49" s="612"/>
      <c r="E49" s="649" t="s">
        <v>1775</v>
      </c>
      <c r="F49" s="940">
        <v>0</v>
      </c>
      <c r="G49" s="96" t="str">
        <f>"(Sum Line "&amp;A34&amp;" to Line "&amp;A46&amp;") / 13"</f>
        <v>(Sum Line 18 to Line 30) / 13</v>
      </c>
    </row>
    <row r="50" spans="1:8" x14ac:dyDescent="0.25">
      <c r="A50" s="94">
        <f>A49+1</f>
        <v>32</v>
      </c>
      <c r="C50" s="612"/>
      <c r="D50" s="612"/>
      <c r="E50" s="1071" t="s">
        <v>312</v>
      </c>
      <c r="F50" s="927" t="s">
        <v>2193</v>
      </c>
      <c r="G50" s="96" t="str">
        <f>"27-Allocators, Line "&amp;'27-Allocators'!A15&amp;""</f>
        <v>27-Allocators, Line 9</v>
      </c>
    </row>
    <row r="51" spans="1:8" x14ac:dyDescent="0.25">
      <c r="A51" s="94">
        <f>A50+1</f>
        <v>33</v>
      </c>
      <c r="C51" s="612"/>
      <c r="D51" s="612"/>
      <c r="E51" s="1075" t="s">
        <v>163</v>
      </c>
      <c r="F51" s="940">
        <v>0</v>
      </c>
      <c r="G51" s="442" t="str">
        <f>"Line "&amp;A49&amp;" * Line "&amp;A50&amp;""</f>
        <v>Line 31 * Line 32</v>
      </c>
    </row>
    <row r="52" spans="1:8" x14ac:dyDescent="0.25">
      <c r="A52" s="13"/>
      <c r="C52" s="612" t="s">
        <v>244</v>
      </c>
      <c r="D52" s="612"/>
      <c r="E52" s="901"/>
      <c r="F52" s="13"/>
      <c r="G52" s="1076"/>
    </row>
    <row r="53" spans="1:8" x14ac:dyDescent="0.25">
      <c r="A53" s="94">
        <f>A51+1</f>
        <v>34</v>
      </c>
      <c r="C53" s="612"/>
      <c r="D53" s="612"/>
      <c r="E53" s="1071" t="s">
        <v>157</v>
      </c>
      <c r="F53" s="940">
        <v>0</v>
      </c>
      <c r="G53" s="1076" t="str">
        <f>"Line "&amp;A46&amp;""</f>
        <v>Line 30</v>
      </c>
    </row>
    <row r="54" spans="1:8" x14ac:dyDescent="0.25">
      <c r="A54" s="94">
        <f>A53+1</f>
        <v>35</v>
      </c>
      <c r="C54" s="612"/>
      <c r="D54" s="612"/>
      <c r="E54" s="1071" t="s">
        <v>312</v>
      </c>
      <c r="F54" s="927" t="s">
        <v>2193</v>
      </c>
      <c r="G54" s="96" t="str">
        <f>"27-Allocators, Line "&amp;'27-Allocators'!A15&amp;""</f>
        <v>27-Allocators, Line 9</v>
      </c>
    </row>
    <row r="55" spans="1:8" x14ac:dyDescent="0.25">
      <c r="A55" s="94">
        <f>A54+1</f>
        <v>36</v>
      </c>
      <c r="C55" s="612"/>
      <c r="D55" s="612"/>
      <c r="E55" s="1075" t="s">
        <v>163</v>
      </c>
      <c r="F55" s="940">
        <v>0</v>
      </c>
      <c r="G55" s="447" t="str">
        <f>"Line "&amp;A53&amp;" * Line "&amp;A54&amp;""</f>
        <v>Line 34 * Line 35</v>
      </c>
    </row>
    <row r="56" spans="1:8" x14ac:dyDescent="0.25">
      <c r="A56" s="1077"/>
      <c r="B56" s="44" t="s">
        <v>233</v>
      </c>
      <c r="C56" s="445"/>
      <c r="D56" s="443"/>
      <c r="E56" s="445"/>
      <c r="F56" s="443"/>
      <c r="G56" s="443"/>
    </row>
    <row r="57" spans="1:8" x14ac:dyDescent="0.25">
      <c r="A57" s="1077"/>
      <c r="B57" s="443" t="s">
        <v>2384</v>
      </c>
      <c r="C57" s="445" t="str">
        <f>"Remove any amounts related to years prior to 2012 on "&amp;B62&amp;" and "&amp;B68&amp;" below."</f>
        <v>Remove any amounts related to years prior to 2012 on b and e below.</v>
      </c>
      <c r="D57" s="443"/>
      <c r="E57" s="445"/>
      <c r="F57" s="443"/>
      <c r="G57" s="443"/>
    </row>
    <row r="58" spans="1:8" x14ac:dyDescent="0.25">
      <c r="A58" s="1078"/>
      <c r="B58" s="443"/>
      <c r="C58" s="445"/>
      <c r="D58" s="443"/>
      <c r="E58" s="858"/>
      <c r="F58" s="450"/>
      <c r="G58" s="447"/>
      <c r="H58" s="1"/>
    </row>
    <row r="59" spans="1:8" x14ac:dyDescent="0.25">
      <c r="A59" s="1078"/>
      <c r="B59" s="443"/>
      <c r="C59" s="445" t="s">
        <v>2385</v>
      </c>
      <c r="D59" s="443"/>
      <c r="E59" s="858"/>
      <c r="F59" s="1067" t="s">
        <v>93</v>
      </c>
      <c r="G59" s="442"/>
    </row>
    <row r="60" spans="1:8" x14ac:dyDescent="0.25">
      <c r="A60" s="1078"/>
      <c r="B60" s="443"/>
      <c r="C60" s="445"/>
      <c r="D60" s="443"/>
      <c r="E60" s="858"/>
      <c r="F60" s="616" t="s">
        <v>2</v>
      </c>
      <c r="G60" s="358" t="s">
        <v>180</v>
      </c>
    </row>
    <row r="61" spans="1:8" x14ac:dyDescent="0.25">
      <c r="A61" s="1078"/>
      <c r="B61" s="547" t="s">
        <v>1691</v>
      </c>
      <c r="C61" s="1069"/>
      <c r="D61" s="443"/>
      <c r="E61" s="858" t="s">
        <v>2386</v>
      </c>
      <c r="F61" s="1052">
        <v>0</v>
      </c>
      <c r="G61" s="1070" t="s">
        <v>161</v>
      </c>
    </row>
    <row r="62" spans="1:8" ht="15" x14ac:dyDescent="0.4">
      <c r="A62" s="1078"/>
      <c r="B62" s="547" t="s">
        <v>1692</v>
      </c>
      <c r="C62" s="445"/>
      <c r="D62" s="443"/>
      <c r="E62" s="858" t="s">
        <v>2387</v>
      </c>
      <c r="F62" s="923">
        <v>0</v>
      </c>
      <c r="G62" s="447" t="s">
        <v>364</v>
      </c>
    </row>
    <row r="63" spans="1:8" x14ac:dyDescent="0.25">
      <c r="A63" s="1078"/>
      <c r="B63" s="547" t="s">
        <v>1693</v>
      </c>
      <c r="C63" s="445"/>
      <c r="D63" s="443"/>
      <c r="E63" s="858" t="s">
        <v>2388</v>
      </c>
      <c r="F63" s="943">
        <v>0</v>
      </c>
      <c r="G63" s="447" t="str">
        <f>""&amp;B61&amp;" - "&amp;B62&amp;""</f>
        <v>a - b</v>
      </c>
    </row>
    <row r="64" spans="1:8" x14ac:dyDescent="0.25">
      <c r="A64" s="1078"/>
      <c r="B64" s="443"/>
      <c r="C64" s="445"/>
      <c r="D64" s="443"/>
      <c r="E64" s="445"/>
      <c r="F64" s="443"/>
      <c r="G64" s="443"/>
    </row>
    <row r="65" spans="1:7" x14ac:dyDescent="0.25">
      <c r="A65" s="1078"/>
      <c r="B65" s="443"/>
      <c r="C65" s="445" t="s">
        <v>2389</v>
      </c>
      <c r="D65" s="443"/>
      <c r="E65" s="858"/>
      <c r="F65" s="1067" t="s">
        <v>93</v>
      </c>
      <c r="G65" s="442"/>
    </row>
    <row r="66" spans="1:7" x14ac:dyDescent="0.25">
      <c r="A66" s="1078"/>
      <c r="B66" s="443"/>
      <c r="C66" s="445"/>
      <c r="D66" s="443"/>
      <c r="E66" s="858"/>
      <c r="F66" s="616" t="s">
        <v>2</v>
      </c>
      <c r="G66" s="358" t="s">
        <v>180</v>
      </c>
    </row>
    <row r="67" spans="1:7" x14ac:dyDescent="0.25">
      <c r="A67" s="1078"/>
      <c r="B67" s="547" t="s">
        <v>1694</v>
      </c>
      <c r="C67" s="1069"/>
      <c r="D67" s="443"/>
      <c r="E67" s="858" t="s">
        <v>2386</v>
      </c>
      <c r="F67" s="1052">
        <v>0</v>
      </c>
      <c r="G67" s="1070" t="s">
        <v>162</v>
      </c>
    </row>
    <row r="68" spans="1:7" ht="15" x14ac:dyDescent="0.4">
      <c r="A68" s="1078"/>
      <c r="B68" s="547" t="s">
        <v>1695</v>
      </c>
      <c r="C68" s="445"/>
      <c r="D68" s="443"/>
      <c r="E68" s="858" t="s">
        <v>2387</v>
      </c>
      <c r="F68" s="923">
        <v>0</v>
      </c>
      <c r="G68" s="447" t="s">
        <v>364</v>
      </c>
    </row>
    <row r="69" spans="1:7" x14ac:dyDescent="0.25">
      <c r="A69" s="1078"/>
      <c r="B69" s="547" t="s">
        <v>1696</v>
      </c>
      <c r="C69" s="445"/>
      <c r="D69" s="445"/>
      <c r="E69" s="858" t="s">
        <v>2390</v>
      </c>
      <c r="F69" s="943">
        <v>0</v>
      </c>
      <c r="G69" s="447" t="str">
        <f>""&amp;B67&amp;" - "&amp;B68&amp;""</f>
        <v>d - e</v>
      </c>
    </row>
    <row r="73" spans="1:7" x14ac:dyDescent="0.25">
      <c r="F73" s="546"/>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1139</v>
      </c>
      <c r="C1" s="1"/>
    </row>
    <row r="3" spans="1:4" x14ac:dyDescent="0.25">
      <c r="B3" s="3" t="s">
        <v>1140</v>
      </c>
      <c r="C3" s="3" t="s">
        <v>1208</v>
      </c>
      <c r="D3" s="358" t="s">
        <v>525</v>
      </c>
    </row>
    <row r="4" spans="1:4" x14ac:dyDescent="0.25">
      <c r="B4" s="330" t="s">
        <v>1084</v>
      </c>
      <c r="C4" s="54"/>
      <c r="D4" s="11" t="s">
        <v>1142</v>
      </c>
    </row>
    <row r="5" spans="1:4" x14ac:dyDescent="0.25">
      <c r="B5" s="564" t="s">
        <v>1141</v>
      </c>
      <c r="C5" s="54">
        <v>1</v>
      </c>
      <c r="D5" s="443" t="s">
        <v>2201</v>
      </c>
    </row>
    <row r="6" spans="1:4" x14ac:dyDescent="0.25">
      <c r="B6" s="564" t="s">
        <v>1095</v>
      </c>
      <c r="C6" s="54">
        <v>2</v>
      </c>
      <c r="D6" s="11" t="s">
        <v>1149</v>
      </c>
    </row>
    <row r="7" spans="1:4" x14ac:dyDescent="0.25">
      <c r="B7" s="564" t="s">
        <v>1096</v>
      </c>
      <c r="C7" s="54">
        <v>3</v>
      </c>
      <c r="D7" s="11" t="s">
        <v>1150</v>
      </c>
    </row>
    <row r="8" spans="1:4" x14ac:dyDescent="0.25">
      <c r="B8" s="564" t="s">
        <v>1498</v>
      </c>
      <c r="C8" s="54">
        <v>4</v>
      </c>
      <c r="D8" s="443" t="s">
        <v>1499</v>
      </c>
    </row>
    <row r="9" spans="1:4" x14ac:dyDescent="0.25">
      <c r="B9" s="564" t="s">
        <v>1085</v>
      </c>
      <c r="C9" s="54">
        <v>5</v>
      </c>
      <c r="D9" s="11" t="s">
        <v>1143</v>
      </c>
    </row>
    <row r="10" spans="1:4" x14ac:dyDescent="0.25">
      <c r="B10" s="564" t="s">
        <v>1088</v>
      </c>
      <c r="C10" s="54">
        <v>6</v>
      </c>
      <c r="D10" s="11" t="s">
        <v>1146</v>
      </c>
    </row>
    <row r="11" spans="1:4" x14ac:dyDescent="0.25">
      <c r="B11" s="564" t="s">
        <v>1089</v>
      </c>
      <c r="C11" s="54">
        <v>7</v>
      </c>
      <c r="D11" s="11" t="s">
        <v>1445</v>
      </c>
    </row>
    <row r="12" spans="1:4" x14ac:dyDescent="0.25">
      <c r="B12" s="564" t="s">
        <v>1098</v>
      </c>
      <c r="C12" s="54">
        <v>8</v>
      </c>
      <c r="D12" s="11" t="s">
        <v>1151</v>
      </c>
    </row>
    <row r="13" spans="1:4" x14ac:dyDescent="0.25">
      <c r="B13" s="564" t="s">
        <v>202</v>
      </c>
      <c r="C13" s="54">
        <v>9</v>
      </c>
      <c r="D13" s="11" t="s">
        <v>99</v>
      </c>
    </row>
    <row r="14" spans="1:4" x14ac:dyDescent="0.25">
      <c r="B14" s="564" t="s">
        <v>1</v>
      </c>
      <c r="C14" s="54">
        <v>10</v>
      </c>
      <c r="D14" s="443" t="s">
        <v>2200</v>
      </c>
    </row>
    <row r="15" spans="1:4" x14ac:dyDescent="0.25">
      <c r="B15" s="564" t="s">
        <v>1090</v>
      </c>
      <c r="C15" s="54">
        <v>11</v>
      </c>
      <c r="D15" s="11" t="s">
        <v>1194</v>
      </c>
    </row>
    <row r="16" spans="1:4" x14ac:dyDescent="0.25">
      <c r="B16" s="564" t="s">
        <v>1091</v>
      </c>
      <c r="C16" s="54">
        <v>12</v>
      </c>
      <c r="D16" s="11" t="s">
        <v>1147</v>
      </c>
    </row>
    <row r="17" spans="2:4" x14ac:dyDescent="0.25">
      <c r="B17" s="564" t="s">
        <v>1097</v>
      </c>
      <c r="C17" s="54">
        <v>13</v>
      </c>
      <c r="D17" s="11" t="s">
        <v>1161</v>
      </c>
    </row>
    <row r="18" spans="2:4" x14ac:dyDescent="0.25">
      <c r="B18" s="564" t="s">
        <v>1092</v>
      </c>
      <c r="C18" s="54">
        <v>14</v>
      </c>
      <c r="D18" s="11" t="s">
        <v>1148</v>
      </c>
    </row>
    <row r="19" spans="2:4" x14ac:dyDescent="0.25">
      <c r="B19" s="564" t="s">
        <v>1093</v>
      </c>
      <c r="C19" s="54">
        <v>15</v>
      </c>
      <c r="D19" s="443" t="s">
        <v>1699</v>
      </c>
    </row>
    <row r="20" spans="2:4" x14ac:dyDescent="0.25">
      <c r="B20" s="564" t="s">
        <v>1094</v>
      </c>
      <c r="C20" s="54">
        <v>16</v>
      </c>
      <c r="D20" s="11" t="s">
        <v>1201</v>
      </c>
    </row>
    <row r="21" spans="2:4" x14ac:dyDescent="0.25">
      <c r="B21" s="564" t="s">
        <v>1086</v>
      </c>
      <c r="C21" s="54">
        <v>17</v>
      </c>
      <c r="D21" s="11" t="s">
        <v>1144</v>
      </c>
    </row>
    <row r="22" spans="2:4" x14ac:dyDescent="0.25">
      <c r="B22" s="564" t="s">
        <v>1087</v>
      </c>
      <c r="C22" s="54">
        <v>18</v>
      </c>
      <c r="D22" s="11" t="s">
        <v>1145</v>
      </c>
    </row>
    <row r="23" spans="2:4" x14ac:dyDescent="0.25">
      <c r="B23" s="564" t="s">
        <v>1099</v>
      </c>
      <c r="C23" s="54">
        <v>19</v>
      </c>
      <c r="D23" s="11" t="s">
        <v>1152</v>
      </c>
    </row>
    <row r="24" spans="2:4" x14ac:dyDescent="0.25">
      <c r="B24" s="564" t="s">
        <v>1100</v>
      </c>
      <c r="C24" s="54">
        <v>20</v>
      </c>
      <c r="D24" s="443" t="s">
        <v>283</v>
      </c>
    </row>
    <row r="25" spans="2:4" x14ac:dyDescent="0.25">
      <c r="B25" s="564" t="s">
        <v>1118</v>
      </c>
      <c r="C25" s="54">
        <v>21</v>
      </c>
      <c r="D25" s="11" t="s">
        <v>1153</v>
      </c>
    </row>
    <row r="26" spans="2:4" x14ac:dyDescent="0.25">
      <c r="B26" s="564" t="s">
        <v>1119</v>
      </c>
      <c r="C26" s="54">
        <v>22</v>
      </c>
      <c r="D26" s="11" t="s">
        <v>1200</v>
      </c>
    </row>
    <row r="27" spans="2:4" x14ac:dyDescent="0.25">
      <c r="B27" s="564" t="s">
        <v>1120</v>
      </c>
      <c r="C27" s="54">
        <v>23</v>
      </c>
      <c r="D27" s="11" t="s">
        <v>1154</v>
      </c>
    </row>
    <row r="28" spans="2:4" ht="12.75" customHeight="1" x14ac:dyDescent="0.25">
      <c r="B28" s="564" t="s">
        <v>1432</v>
      </c>
      <c r="C28" s="54">
        <v>24</v>
      </c>
      <c r="D28" s="11" t="s">
        <v>1433</v>
      </c>
    </row>
    <row r="29" spans="2:4" x14ac:dyDescent="0.25">
      <c r="B29" s="564" t="s">
        <v>1373</v>
      </c>
      <c r="C29" s="54">
        <v>25</v>
      </c>
      <c r="D29" s="11" t="s">
        <v>1374</v>
      </c>
    </row>
    <row r="30" spans="2:4" x14ac:dyDescent="0.25">
      <c r="B30" s="564" t="s">
        <v>1123</v>
      </c>
      <c r="C30" s="54">
        <v>26</v>
      </c>
      <c r="D30" s="11" t="s">
        <v>1155</v>
      </c>
    </row>
    <row r="31" spans="2:4" x14ac:dyDescent="0.25">
      <c r="B31" s="564" t="s">
        <v>1122</v>
      </c>
      <c r="C31" s="54">
        <v>27</v>
      </c>
      <c r="D31" s="11" t="s">
        <v>203</v>
      </c>
    </row>
    <row r="32" spans="2:4" x14ac:dyDescent="0.25">
      <c r="B32" s="564" t="s">
        <v>1121</v>
      </c>
      <c r="C32" s="54">
        <v>28</v>
      </c>
      <c r="D32" s="11" t="s">
        <v>1156</v>
      </c>
    </row>
    <row r="33" spans="2:4" x14ac:dyDescent="0.25">
      <c r="B33" s="564" t="s">
        <v>1124</v>
      </c>
      <c r="C33" s="54">
        <v>29</v>
      </c>
      <c r="D33" s="11" t="s">
        <v>1157</v>
      </c>
    </row>
    <row r="34" spans="2:4" x14ac:dyDescent="0.25">
      <c r="B34" s="564" t="s">
        <v>1125</v>
      </c>
      <c r="C34" s="54">
        <v>30</v>
      </c>
      <c r="D34" s="11" t="s">
        <v>1202</v>
      </c>
    </row>
    <row r="35" spans="2:4" x14ac:dyDescent="0.25">
      <c r="B35" s="564" t="s">
        <v>1126</v>
      </c>
      <c r="C35" s="54">
        <v>31</v>
      </c>
      <c r="D35" s="11" t="s">
        <v>1158</v>
      </c>
    </row>
    <row r="36" spans="2:4" x14ac:dyDescent="0.25">
      <c r="B36" s="564" t="s">
        <v>1127</v>
      </c>
      <c r="C36" s="54">
        <v>32</v>
      </c>
      <c r="D36" s="11" t="s">
        <v>1159</v>
      </c>
    </row>
    <row r="37" spans="2:4" x14ac:dyDescent="0.25">
      <c r="B37" s="564" t="s">
        <v>1128</v>
      </c>
      <c r="C37" s="434">
        <v>33</v>
      </c>
      <c r="D37" s="11" t="s">
        <v>1160</v>
      </c>
    </row>
    <row r="38" spans="2:4" x14ac:dyDescent="0.25">
      <c r="B38" s="882" t="s">
        <v>1987</v>
      </c>
      <c r="C38" s="848">
        <v>34</v>
      </c>
      <c r="D38" s="445" t="s">
        <v>2011</v>
      </c>
    </row>
    <row r="39" spans="2:4" x14ac:dyDescent="0.25">
      <c r="B39" s="11"/>
    </row>
    <row r="40" spans="2:4" x14ac:dyDescent="0.25">
      <c r="B40" s="11"/>
    </row>
    <row r="41" spans="2:4" x14ac:dyDescent="0.25">
      <c r="B41" s="11"/>
    </row>
    <row r="42" spans="2:4" x14ac:dyDescent="0.25">
      <c r="B42"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247</v>
      </c>
    </row>
    <row r="2" spans="1:10" x14ac:dyDescent="0.25">
      <c r="A2" s="1" t="s">
        <v>248</v>
      </c>
    </row>
    <row r="3" spans="1:10" x14ac:dyDescent="0.25">
      <c r="B3" s="1"/>
      <c r="H3" s="158" t="s">
        <v>249</v>
      </c>
      <c r="I3" s="86"/>
      <c r="J3" s="49"/>
    </row>
    <row r="4" spans="1:10" x14ac:dyDescent="0.25">
      <c r="B4" s="1" t="s">
        <v>250</v>
      </c>
    </row>
    <row r="5" spans="1:10" x14ac:dyDescent="0.25">
      <c r="B5" s="48" t="s">
        <v>251</v>
      </c>
    </row>
    <row r="6" spans="1:10" x14ac:dyDescent="0.25">
      <c r="B6" s="48" t="s">
        <v>300</v>
      </c>
    </row>
    <row r="7" spans="1:10" x14ac:dyDescent="0.25">
      <c r="B7" s="90" t="s">
        <v>997</v>
      </c>
    </row>
    <row r="8" spans="1:10" x14ac:dyDescent="0.25">
      <c r="B8" s="90" t="s">
        <v>1500</v>
      </c>
    </row>
    <row r="9" spans="1:10" x14ac:dyDescent="0.25">
      <c r="B9" s="90" t="s">
        <v>1501</v>
      </c>
      <c r="D9" s="1"/>
      <c r="E9" s="1"/>
    </row>
    <row r="10" spans="1:10" x14ac:dyDescent="0.25">
      <c r="B10" s="48"/>
    </row>
    <row r="11" spans="1:10" x14ac:dyDescent="0.25">
      <c r="B11" s="48"/>
      <c r="C11" s="11" t="s">
        <v>360</v>
      </c>
    </row>
    <row r="12" spans="1:10" x14ac:dyDescent="0.25">
      <c r="B12" s="48"/>
      <c r="C12" s="447" t="s">
        <v>1503</v>
      </c>
    </row>
    <row r="13" spans="1:10" x14ac:dyDescent="0.25">
      <c r="B13" s="48"/>
      <c r="C13" s="442" t="s">
        <v>1789</v>
      </c>
      <c r="D13" s="13"/>
      <c r="E13" s="13"/>
      <c r="F13" s="13"/>
      <c r="G13" s="13"/>
      <c r="H13" s="13"/>
    </row>
    <row r="14" spans="1:10" x14ac:dyDescent="0.25">
      <c r="B14" s="48"/>
      <c r="C14" s="447" t="s">
        <v>1504</v>
      </c>
    </row>
    <row r="15" spans="1:10" x14ac:dyDescent="0.25">
      <c r="B15" s="48"/>
      <c r="C15" s="467" t="s">
        <v>1505</v>
      </c>
    </row>
    <row r="16" spans="1:10" x14ac:dyDescent="0.25">
      <c r="B16" s="48"/>
      <c r="C16" s="447" t="s">
        <v>1507</v>
      </c>
    </row>
    <row r="17" spans="1:10" x14ac:dyDescent="0.25">
      <c r="B17" s="48"/>
      <c r="C17" s="447" t="s">
        <v>1506</v>
      </c>
    </row>
    <row r="18" spans="1:10" x14ac:dyDescent="0.25">
      <c r="B18" s="48"/>
      <c r="C18" s="12"/>
    </row>
    <row r="19" spans="1:10" x14ac:dyDescent="0.25">
      <c r="C19" s="1" t="s">
        <v>996</v>
      </c>
    </row>
    <row r="20" spans="1:10" x14ac:dyDescent="0.25">
      <c r="C20" s="1"/>
      <c r="E20" s="3" t="s">
        <v>363</v>
      </c>
      <c r="F20" s="3" t="s">
        <v>347</v>
      </c>
      <c r="G20" s="3" t="s">
        <v>348</v>
      </c>
    </row>
    <row r="21" spans="1:10" x14ac:dyDescent="0.25">
      <c r="B21" s="1"/>
      <c r="F21" s="2" t="s">
        <v>64</v>
      </c>
      <c r="G21" s="2" t="s">
        <v>18</v>
      </c>
    </row>
    <row r="22" spans="1:10" x14ac:dyDescent="0.25">
      <c r="B22" s="1"/>
      <c r="E22" s="2" t="s">
        <v>64</v>
      </c>
      <c r="F22" s="4" t="s">
        <v>231</v>
      </c>
      <c r="G22" s="2" t="s">
        <v>299</v>
      </c>
    </row>
    <row r="23" spans="1:10" x14ac:dyDescent="0.25">
      <c r="B23" s="1"/>
      <c r="C23" s="11"/>
      <c r="E23" s="2" t="s">
        <v>230</v>
      </c>
      <c r="F23" s="2" t="s">
        <v>232</v>
      </c>
      <c r="G23" s="2" t="s">
        <v>1</v>
      </c>
    </row>
    <row r="24" spans="1:10" x14ac:dyDescent="0.25">
      <c r="B24" s="1"/>
      <c r="C24" s="2" t="s">
        <v>8</v>
      </c>
      <c r="E24" s="2" t="s">
        <v>243</v>
      </c>
      <c r="F24" s="2" t="s">
        <v>243</v>
      </c>
      <c r="G24" s="4" t="s">
        <v>10</v>
      </c>
    </row>
    <row r="25" spans="1:10" x14ac:dyDescent="0.25">
      <c r="A25" s="44" t="s">
        <v>332</v>
      </c>
      <c r="B25" s="1"/>
      <c r="C25" s="3" t="s">
        <v>227</v>
      </c>
      <c r="E25" s="3" t="s">
        <v>176</v>
      </c>
      <c r="F25" s="3" t="s">
        <v>176</v>
      </c>
      <c r="G25" s="3" t="s">
        <v>176</v>
      </c>
      <c r="H25" s="3" t="s">
        <v>233</v>
      </c>
      <c r="I25" s="43"/>
      <c r="J25" s="43"/>
    </row>
    <row r="26" spans="1:10" x14ac:dyDescent="0.25">
      <c r="A26" s="2">
        <v>1</v>
      </c>
      <c r="B26" s="1"/>
      <c r="C26" s="11" t="s">
        <v>341</v>
      </c>
      <c r="E26" s="940">
        <v>0</v>
      </c>
      <c r="F26" s="940">
        <v>0</v>
      </c>
      <c r="G26" s="940">
        <v>0</v>
      </c>
      <c r="H26" s="40" t="str">
        <f>"10-CWIP Lines "&amp;'10-CWIP'!A25&amp;", "&amp;'10-CWIP'!A26&amp;", and "&amp;'10-CWIP'!A113&amp;""</f>
        <v>10-CWIP Lines 13, 14, and 80</v>
      </c>
    </row>
    <row r="27" spans="1:10" x14ac:dyDescent="0.25">
      <c r="A27" s="2">
        <f t="shared" ref="A27:A37" si="0">A26+1</f>
        <v>2</v>
      </c>
      <c r="B27" s="1"/>
      <c r="C27" s="11" t="s">
        <v>342</v>
      </c>
      <c r="E27" s="940">
        <v>0</v>
      </c>
      <c r="F27" s="940">
        <v>0</v>
      </c>
      <c r="G27" s="940">
        <v>0</v>
      </c>
      <c r="H27" s="40" t="str">
        <f>"10-CWIP Lines "&amp;'10-CWIP'!A25&amp;", "&amp;'10-CWIP'!A26&amp;", and "&amp;'10-CWIP'!A146&amp;""</f>
        <v>10-CWIP Lines 13, 14, and 106</v>
      </c>
    </row>
    <row r="28" spans="1:10" x14ac:dyDescent="0.25">
      <c r="A28" s="2">
        <f t="shared" si="0"/>
        <v>3</v>
      </c>
      <c r="B28" s="1"/>
      <c r="C28" s="443" t="s">
        <v>2421</v>
      </c>
      <c r="E28" s="940">
        <v>0</v>
      </c>
      <c r="F28" s="940">
        <v>0</v>
      </c>
      <c r="G28" s="940">
        <v>0</v>
      </c>
      <c r="H28" s="40" t="str">
        <f>"10-CWIP Lines "&amp;'10-CWIP'!A25&amp;", "&amp;'10-CWIP'!A26&amp;", and "&amp;'10-CWIP'!A177&amp;""</f>
        <v>10-CWIP Lines 13, 14, and 132</v>
      </c>
    </row>
    <row r="29" spans="1:10" x14ac:dyDescent="0.25">
      <c r="A29" s="2">
        <f t="shared" si="0"/>
        <v>4</v>
      </c>
      <c r="B29" s="1"/>
      <c r="C29" s="443" t="s">
        <v>2422</v>
      </c>
      <c r="E29" s="940">
        <v>0</v>
      </c>
      <c r="F29" s="940">
        <v>0</v>
      </c>
      <c r="G29" s="940">
        <v>0</v>
      </c>
      <c r="H29" s="40" t="str">
        <f>"10-CWIP Lines "&amp;'10-CWIP'!A25&amp;", "&amp;'10-CWIP'!A26&amp;", and "&amp;'10-CWIP'!A210&amp;""</f>
        <v>10-CWIP Lines 13, 14, and 158</v>
      </c>
    </row>
    <row r="30" spans="1:10" x14ac:dyDescent="0.25">
      <c r="A30" s="2">
        <f t="shared" si="0"/>
        <v>5</v>
      </c>
      <c r="B30" s="1"/>
      <c r="C30" s="11" t="s">
        <v>1002</v>
      </c>
      <c r="E30" s="940">
        <v>0</v>
      </c>
      <c r="F30" s="940">
        <v>0</v>
      </c>
      <c r="G30" s="940">
        <v>0</v>
      </c>
      <c r="H30" s="40" t="str">
        <f>"10-CWIP Lines "&amp;'10-CWIP'!A25&amp;", "&amp;'10-CWIP'!A26&amp;", and "&amp;'10-CWIP'!A241&amp;""</f>
        <v>10-CWIP Lines 13, 14, and 184</v>
      </c>
    </row>
    <row r="31" spans="1:10" x14ac:dyDescent="0.25">
      <c r="A31" s="2">
        <f t="shared" si="0"/>
        <v>6</v>
      </c>
      <c r="B31" s="1"/>
      <c r="C31" s="11" t="s">
        <v>1003</v>
      </c>
      <c r="E31" s="940">
        <v>0</v>
      </c>
      <c r="F31" s="940">
        <v>0</v>
      </c>
      <c r="G31" s="940">
        <v>0</v>
      </c>
      <c r="H31" s="40" t="str">
        <f>"10-CWIP Lines "&amp;'10-CWIP'!A45&amp;", "&amp;'10-CWIP'!A46&amp;", and "&amp;'10-CWIP'!A274&amp;""</f>
        <v>10-CWIP Lines 27, 28, and 210</v>
      </c>
    </row>
    <row r="32" spans="1:10" x14ac:dyDescent="0.25">
      <c r="A32" s="2">
        <f t="shared" si="0"/>
        <v>7</v>
      </c>
      <c r="B32" s="1"/>
      <c r="C32" s="11" t="s">
        <v>1004</v>
      </c>
      <c r="E32" s="940">
        <v>0</v>
      </c>
      <c r="F32" s="940">
        <v>0</v>
      </c>
      <c r="G32" s="940">
        <v>0</v>
      </c>
      <c r="H32" s="40" t="str">
        <f>"10-CWIP Lines "&amp;'10-CWIP'!A45&amp;", "&amp;'10-CWIP'!A46&amp;", and "&amp;'10-CWIP'!A305&amp;""</f>
        <v>10-CWIP Lines 27, 28, and 236</v>
      </c>
    </row>
    <row r="33" spans="1:10" x14ac:dyDescent="0.25">
      <c r="A33" s="2">
        <f t="shared" si="0"/>
        <v>8</v>
      </c>
      <c r="B33" s="1"/>
      <c r="C33" s="453" t="s">
        <v>2423</v>
      </c>
      <c r="E33" s="940">
        <v>0</v>
      </c>
      <c r="F33" s="940">
        <v>0</v>
      </c>
      <c r="G33" s="940">
        <v>0</v>
      </c>
      <c r="H33" s="40" t="str">
        <f>"10-CWIP Lines "&amp;'10-CWIP'!A45&amp;", "&amp;'10-CWIP'!A46&amp;", and "&amp;'10-CWIP'!A338&amp;""</f>
        <v>10-CWIP Lines 27, 28, and 262</v>
      </c>
    </row>
    <row r="34" spans="1:10" x14ac:dyDescent="0.25">
      <c r="A34" s="2">
        <f t="shared" si="0"/>
        <v>9</v>
      </c>
      <c r="B34" s="1"/>
      <c r="C34" s="453" t="s">
        <v>2424</v>
      </c>
      <c r="E34" s="940">
        <v>0</v>
      </c>
      <c r="F34" s="940">
        <v>0</v>
      </c>
      <c r="G34" s="940">
        <v>0</v>
      </c>
      <c r="H34" s="40" t="str">
        <f>"10-CWIP Lines "&amp;'10-CWIP'!A45&amp;", "&amp;'10-CWIP'!A46&amp;", and "&amp;'10-CWIP'!A369&amp;""</f>
        <v>10-CWIP Lines 27, 28, and 288</v>
      </c>
    </row>
    <row r="35" spans="1:10" x14ac:dyDescent="0.25">
      <c r="A35" s="2">
        <f t="shared" si="0"/>
        <v>10</v>
      </c>
      <c r="B35" s="1"/>
      <c r="C35" s="514" t="s">
        <v>510</v>
      </c>
      <c r="E35" s="164"/>
      <c r="F35" s="164"/>
      <c r="G35" s="164"/>
      <c r="H35" s="514" t="s">
        <v>510</v>
      </c>
      <c r="I35" s="13"/>
      <c r="J35" s="13"/>
    </row>
    <row r="36" spans="1:10" x14ac:dyDescent="0.25">
      <c r="A36" s="2">
        <f t="shared" si="0"/>
        <v>11</v>
      </c>
      <c r="B36" s="1"/>
      <c r="C36" s="159"/>
      <c r="E36" s="164"/>
      <c r="F36" s="164"/>
      <c r="G36" s="164"/>
      <c r="H36" s="12"/>
    </row>
    <row r="37" spans="1:10" x14ac:dyDescent="0.25">
      <c r="A37" s="2">
        <f t="shared" si="0"/>
        <v>12</v>
      </c>
      <c r="B37" s="1"/>
      <c r="D37" s="30" t="s">
        <v>198</v>
      </c>
      <c r="E37" s="940">
        <v>0</v>
      </c>
      <c r="F37" s="940">
        <v>0</v>
      </c>
      <c r="G37" s="940">
        <v>0</v>
      </c>
      <c r="H37" s="45"/>
    </row>
    <row r="38" spans="1:10" x14ac:dyDescent="0.25">
      <c r="B38" s="1"/>
    </row>
    <row r="39" spans="1:10" x14ac:dyDescent="0.25">
      <c r="B39" s="1"/>
      <c r="C39" s="1" t="s">
        <v>1256</v>
      </c>
    </row>
    <row r="40" spans="1:10" x14ac:dyDescent="0.25">
      <c r="B40" s="1"/>
      <c r="C40" s="1"/>
    </row>
    <row r="41" spans="1:10" x14ac:dyDescent="0.25">
      <c r="B41" s="1"/>
      <c r="E41" s="3" t="s">
        <v>363</v>
      </c>
      <c r="F41" s="3" t="s">
        <v>347</v>
      </c>
      <c r="G41" s="3" t="s">
        <v>348</v>
      </c>
    </row>
    <row r="42" spans="1:10" x14ac:dyDescent="0.25">
      <c r="B42" s="1"/>
      <c r="E42" s="452" t="s">
        <v>1478</v>
      </c>
      <c r="F42" s="3"/>
      <c r="G42" s="3"/>
    </row>
    <row r="43" spans="1:10" x14ac:dyDescent="0.25">
      <c r="B43" s="1"/>
      <c r="E43" s="2" t="s">
        <v>64</v>
      </c>
      <c r="F43" s="2" t="s">
        <v>302</v>
      </c>
      <c r="G43" s="2" t="s">
        <v>302</v>
      </c>
    </row>
    <row r="44" spans="1:10" x14ac:dyDescent="0.25">
      <c r="B44" s="1"/>
      <c r="E44" s="2" t="s">
        <v>8</v>
      </c>
      <c r="F44" s="2" t="s">
        <v>1</v>
      </c>
      <c r="G44" s="2" t="s">
        <v>301</v>
      </c>
    </row>
    <row r="45" spans="1:10" x14ac:dyDescent="0.25">
      <c r="B45" s="1"/>
      <c r="E45" s="3" t="s">
        <v>174</v>
      </c>
      <c r="F45" s="3" t="s">
        <v>252</v>
      </c>
      <c r="G45" s="3" t="s">
        <v>3</v>
      </c>
      <c r="H45" s="3" t="s">
        <v>233</v>
      </c>
    </row>
    <row r="46" spans="1:10" x14ac:dyDescent="0.25">
      <c r="A46" s="2">
        <f>A37+1</f>
        <v>13</v>
      </c>
      <c r="B46" s="1"/>
      <c r="C46" t="s">
        <v>228</v>
      </c>
      <c r="E46" s="940">
        <v>0</v>
      </c>
      <c r="F46" s="940">
        <v>0</v>
      </c>
      <c r="G46" s="940">
        <v>0</v>
      </c>
      <c r="H46" s="12" t="str">
        <f>"Line "&amp;A84&amp;", C4"</f>
        <v>Line 37, C4</v>
      </c>
    </row>
    <row r="47" spans="1:10" x14ac:dyDescent="0.25">
      <c r="A47" s="2">
        <f>A46+1</f>
        <v>14</v>
      </c>
      <c r="B47" s="1"/>
      <c r="C47" t="s">
        <v>229</v>
      </c>
      <c r="E47" s="940">
        <v>0</v>
      </c>
      <c r="F47" s="940">
        <v>0</v>
      </c>
      <c r="G47" s="940">
        <v>0</v>
      </c>
      <c r="H47" s="12" t="str">
        <f>"Line "&amp;A26&amp;", C1, and Line "&amp;A84&amp;", C2"</f>
        <v>Line 1, C1, and Line 37, C2</v>
      </c>
    </row>
    <row r="48" spans="1:10" x14ac:dyDescent="0.25">
      <c r="A48" s="2">
        <f>A47+1</f>
        <v>15</v>
      </c>
      <c r="B48" s="1"/>
      <c r="C48" s="443" t="s">
        <v>1666</v>
      </c>
      <c r="E48" s="940">
        <v>0</v>
      </c>
      <c r="F48" s="940">
        <v>0</v>
      </c>
      <c r="G48" s="940">
        <v>0</v>
      </c>
      <c r="H48" s="12" t="str">
        <f>"Line "&amp;A27&amp;", C1, and Line "&amp;A84&amp;", C3"</f>
        <v>Line 2, C1, and Line 37, C3</v>
      </c>
    </row>
    <row r="49" spans="1:8" x14ac:dyDescent="0.25">
      <c r="A49" s="2">
        <f>A48+1</f>
        <v>16</v>
      </c>
      <c r="B49" s="1"/>
      <c r="C49" s="514" t="s">
        <v>510</v>
      </c>
      <c r="E49" s="85"/>
      <c r="F49" s="85"/>
      <c r="G49" s="85"/>
      <c r="H49" s="514" t="s">
        <v>510</v>
      </c>
    </row>
    <row r="50" spans="1:8" x14ac:dyDescent="0.25">
      <c r="A50" s="2">
        <f>A49+1</f>
        <v>17</v>
      </c>
      <c r="B50" s="1"/>
      <c r="C50" s="159"/>
      <c r="E50" s="85"/>
      <c r="F50" s="85"/>
      <c r="G50" s="85"/>
      <c r="H50" s="12"/>
    </row>
    <row r="51" spans="1:8" x14ac:dyDescent="0.25">
      <c r="A51" s="2">
        <f>A50+1</f>
        <v>18</v>
      </c>
      <c r="B51" s="1"/>
      <c r="D51" s="441" t="s">
        <v>1670</v>
      </c>
      <c r="E51" s="940">
        <v>0</v>
      </c>
      <c r="F51" s="85"/>
      <c r="G51" s="85"/>
      <c r="H51" s="447" t="s">
        <v>1671</v>
      </c>
    </row>
    <row r="52" spans="1:8" x14ac:dyDescent="0.25">
      <c r="B52" s="1"/>
    </row>
    <row r="53" spans="1:8" x14ac:dyDescent="0.25">
      <c r="B53" s="1"/>
      <c r="C53" s="1" t="s">
        <v>1502</v>
      </c>
    </row>
    <row r="54" spans="1:8" x14ac:dyDescent="0.25">
      <c r="B54" s="1"/>
      <c r="C54" s="1"/>
    </row>
    <row r="55" spans="1:8" x14ac:dyDescent="0.25">
      <c r="B55" s="1"/>
      <c r="C55" s="1"/>
      <c r="E55" s="3" t="s">
        <v>363</v>
      </c>
      <c r="F55" s="3" t="s">
        <v>347</v>
      </c>
      <c r="G55" s="3" t="s">
        <v>348</v>
      </c>
    </row>
    <row r="56" spans="1:8" x14ac:dyDescent="0.25">
      <c r="B56" s="1"/>
      <c r="E56" s="452" t="s">
        <v>1478</v>
      </c>
      <c r="G56" s="2" t="s">
        <v>10</v>
      </c>
    </row>
    <row r="57" spans="1:8" x14ac:dyDescent="0.25">
      <c r="B57" s="1"/>
      <c r="E57" s="2" t="s">
        <v>64</v>
      </c>
      <c r="F57" s="2" t="s">
        <v>10</v>
      </c>
      <c r="G57" s="2" t="s">
        <v>301</v>
      </c>
    </row>
    <row r="58" spans="1:8" x14ac:dyDescent="0.25">
      <c r="B58" s="1"/>
      <c r="C58" s="2" t="s">
        <v>8</v>
      </c>
      <c r="E58" s="2" t="s">
        <v>8</v>
      </c>
      <c r="F58" s="2" t="s">
        <v>1</v>
      </c>
      <c r="G58" s="2" t="s">
        <v>3</v>
      </c>
    </row>
    <row r="59" spans="1:8" ht="12.75" customHeight="1" x14ac:dyDescent="0.25">
      <c r="B59" s="1"/>
      <c r="C59" s="3" t="s">
        <v>227</v>
      </c>
      <c r="E59" s="3" t="s">
        <v>174</v>
      </c>
      <c r="F59" s="3" t="s">
        <v>252</v>
      </c>
      <c r="G59" s="3" t="s">
        <v>252</v>
      </c>
      <c r="H59" s="3" t="s">
        <v>233</v>
      </c>
    </row>
    <row r="60" spans="1:8" x14ac:dyDescent="0.25">
      <c r="A60" s="2">
        <f>A51+1</f>
        <v>19</v>
      </c>
      <c r="B60" s="1"/>
      <c r="C60" t="s">
        <v>228</v>
      </c>
      <c r="E60" s="940">
        <v>0</v>
      </c>
      <c r="F60" s="940">
        <v>0</v>
      </c>
      <c r="G60" s="940">
        <v>0</v>
      </c>
      <c r="H60" s="12" t="str">
        <f>"Line "&amp;A85&amp;", C4"</f>
        <v>Line 38, C4</v>
      </c>
    </row>
    <row r="61" spans="1:8" x14ac:dyDescent="0.25">
      <c r="A61" s="2">
        <f>A60+1</f>
        <v>20</v>
      </c>
      <c r="B61" s="1"/>
      <c r="C61" t="s">
        <v>229</v>
      </c>
      <c r="E61" s="940">
        <v>0</v>
      </c>
      <c r="F61" s="940">
        <v>0</v>
      </c>
      <c r="G61" s="940">
        <v>0</v>
      </c>
      <c r="H61" s="12" t="str">
        <f>"Line "&amp;A26&amp;", C2, and Line "&amp;A85&amp;", C2"</f>
        <v>Line 1, C2, and Line 38, C2</v>
      </c>
    </row>
    <row r="62" spans="1:8" x14ac:dyDescent="0.25">
      <c r="A62" s="2">
        <f>A61+1</f>
        <v>21</v>
      </c>
      <c r="B62" s="1"/>
      <c r="C62" s="11" t="s">
        <v>546</v>
      </c>
      <c r="E62" s="940">
        <v>0</v>
      </c>
      <c r="F62" s="940">
        <v>0</v>
      </c>
      <c r="G62" s="940">
        <v>0</v>
      </c>
      <c r="H62" s="12" t="str">
        <f>"Line "&amp;A27&amp;", C2, and Line "&amp;A85&amp;", C3"</f>
        <v>Line 2, C2, and Line 38, C3</v>
      </c>
    </row>
    <row r="63" spans="1:8" x14ac:dyDescent="0.25">
      <c r="A63" s="2">
        <f>A62+1</f>
        <v>22</v>
      </c>
      <c r="B63" s="1"/>
      <c r="C63" s="514" t="s">
        <v>510</v>
      </c>
      <c r="E63" s="85"/>
      <c r="F63" s="85"/>
      <c r="G63" s="85"/>
      <c r="H63" s="514" t="s">
        <v>510</v>
      </c>
    </row>
    <row r="64" spans="1:8" x14ac:dyDescent="0.25">
      <c r="A64" s="2">
        <f>A63+1</f>
        <v>23</v>
      </c>
      <c r="B64" s="1"/>
      <c r="C64" s="159"/>
      <c r="E64" s="85"/>
      <c r="F64" s="85"/>
      <c r="G64" s="85"/>
      <c r="H64" s="12"/>
    </row>
    <row r="65" spans="1:11" x14ac:dyDescent="0.25">
      <c r="A65" s="2">
        <f>A64+1</f>
        <v>24</v>
      </c>
      <c r="B65" s="1"/>
      <c r="D65" s="441" t="s">
        <v>1670</v>
      </c>
      <c r="E65" s="940">
        <v>0</v>
      </c>
      <c r="H65" s="537" t="s">
        <v>1672</v>
      </c>
    </row>
    <row r="66" spans="1:11" x14ac:dyDescent="0.25">
      <c r="A66" s="496"/>
      <c r="B66" s="1"/>
      <c r="D66" s="83"/>
      <c r="E66" s="6"/>
    </row>
    <row r="67" spans="1:11" x14ac:dyDescent="0.25">
      <c r="C67" s="1" t="s">
        <v>1005</v>
      </c>
    </row>
    <row r="68" spans="1:11" x14ac:dyDescent="0.25">
      <c r="E68" s="76" t="s">
        <v>363</v>
      </c>
      <c r="F68" s="76" t="s">
        <v>347</v>
      </c>
      <c r="G68" s="76" t="s">
        <v>348</v>
      </c>
      <c r="H68" s="76" t="s">
        <v>349</v>
      </c>
      <c r="I68" s="76" t="s">
        <v>350</v>
      </c>
      <c r="J68" s="76"/>
    </row>
    <row r="69" spans="1:11" x14ac:dyDescent="0.25">
      <c r="C69" s="2" t="s">
        <v>535</v>
      </c>
      <c r="E69" s="2" t="s">
        <v>538</v>
      </c>
      <c r="F69" s="848" t="str">
        <f>"L "&amp;A117&amp;" to L "&amp;A129&amp;", C3"</f>
        <v>L 53 to L 65, C3</v>
      </c>
      <c r="G69" s="848" t="str">
        <f>"L "&amp;A157&amp;" to L "&amp;A169&amp;", C3"</f>
        <v>L 79 to L 91, C3</v>
      </c>
      <c r="H69" s="848" t="str">
        <f>"L "&amp;A137&amp;" to L "&amp;A149&amp;", C3"</f>
        <v>L 66 to L 78, C3</v>
      </c>
      <c r="I69" s="86"/>
      <c r="K69" s="2"/>
    </row>
    <row r="70" spans="1:11" x14ac:dyDescent="0.25">
      <c r="C70" s="2" t="s">
        <v>194</v>
      </c>
      <c r="E70" s="2" t="s">
        <v>539</v>
      </c>
      <c r="G70" s="2" t="s">
        <v>345</v>
      </c>
      <c r="H70" s="2" t="s">
        <v>536</v>
      </c>
      <c r="I70" s="160"/>
      <c r="J70" s="322"/>
      <c r="K70" s="2"/>
    </row>
    <row r="71" spans="1:11" x14ac:dyDescent="0.25">
      <c r="A71" s="44"/>
      <c r="C71" s="22" t="s">
        <v>193</v>
      </c>
      <c r="D71" s="22" t="s">
        <v>194</v>
      </c>
      <c r="E71" s="3" t="s">
        <v>3</v>
      </c>
      <c r="F71" s="3" t="s">
        <v>226</v>
      </c>
      <c r="G71" s="3" t="s">
        <v>346</v>
      </c>
      <c r="H71" s="3" t="s">
        <v>537</v>
      </c>
      <c r="I71" s="161"/>
      <c r="J71" s="3" t="s">
        <v>169</v>
      </c>
    </row>
    <row r="72" spans="1:11" x14ac:dyDescent="0.25">
      <c r="A72" s="2">
        <f>A65+1</f>
        <v>25</v>
      </c>
      <c r="C72" s="18" t="s">
        <v>181</v>
      </c>
      <c r="D72" s="934" t="s">
        <v>1388</v>
      </c>
      <c r="E72" s="940">
        <v>0</v>
      </c>
      <c r="F72" s="940">
        <v>0</v>
      </c>
      <c r="G72" s="940">
        <v>0</v>
      </c>
      <c r="H72" s="940">
        <v>0</v>
      </c>
      <c r="I72" s="322" t="s">
        <v>77</v>
      </c>
      <c r="J72" s="43" t="s">
        <v>1009</v>
      </c>
    </row>
    <row r="73" spans="1:11" x14ac:dyDescent="0.25">
      <c r="A73" s="2">
        <f>A72+1</f>
        <v>26</v>
      </c>
      <c r="C73" s="18" t="s">
        <v>182</v>
      </c>
      <c r="D73" s="934" t="s">
        <v>1388</v>
      </c>
      <c r="E73" s="940">
        <v>0</v>
      </c>
      <c r="F73" s="940">
        <v>0</v>
      </c>
      <c r="G73" s="940">
        <v>0</v>
      </c>
      <c r="H73" s="940">
        <v>0</v>
      </c>
      <c r="I73" s="322" t="s">
        <v>77</v>
      </c>
      <c r="J73" s="12" t="s">
        <v>1008</v>
      </c>
    </row>
    <row r="74" spans="1:11" x14ac:dyDescent="0.25">
      <c r="A74" s="2">
        <f t="shared" ref="A74:A85" si="1">A73+1</f>
        <v>27</v>
      </c>
      <c r="C74" s="19" t="s">
        <v>183</v>
      </c>
      <c r="D74" s="934" t="s">
        <v>1388</v>
      </c>
      <c r="E74" s="940">
        <v>0</v>
      </c>
      <c r="F74" s="940">
        <v>0</v>
      </c>
      <c r="G74" s="940">
        <v>0</v>
      </c>
      <c r="H74" s="940">
        <v>0</v>
      </c>
      <c r="I74" s="322" t="s">
        <v>77</v>
      </c>
      <c r="J74" s="322" t="s">
        <v>1007</v>
      </c>
      <c r="K74" s="2"/>
    </row>
    <row r="75" spans="1:11" x14ac:dyDescent="0.25">
      <c r="A75" s="2">
        <f t="shared" si="1"/>
        <v>28</v>
      </c>
      <c r="C75" s="19" t="s">
        <v>196</v>
      </c>
      <c r="D75" s="934" t="s">
        <v>1388</v>
      </c>
      <c r="E75" s="940">
        <v>0</v>
      </c>
      <c r="F75" s="940">
        <v>0</v>
      </c>
      <c r="G75" s="940">
        <v>0</v>
      </c>
      <c r="H75" s="940">
        <v>0</v>
      </c>
      <c r="I75" s="322" t="s">
        <v>77</v>
      </c>
      <c r="J75" s="322"/>
      <c r="K75" s="2"/>
    </row>
    <row r="76" spans="1:11" x14ac:dyDescent="0.25">
      <c r="A76" s="2">
        <f t="shared" si="1"/>
        <v>29</v>
      </c>
      <c r="C76" s="18" t="s">
        <v>184</v>
      </c>
      <c r="D76" s="934" t="s">
        <v>1388</v>
      </c>
      <c r="E76" s="940">
        <v>0</v>
      </c>
      <c r="F76" s="940">
        <v>0</v>
      </c>
      <c r="G76" s="940">
        <v>0</v>
      </c>
      <c r="H76" s="940">
        <v>0</v>
      </c>
      <c r="I76" s="322" t="s">
        <v>77</v>
      </c>
      <c r="J76" s="322"/>
      <c r="K76" s="2"/>
    </row>
    <row r="77" spans="1:11" x14ac:dyDescent="0.25">
      <c r="A77" s="2">
        <f t="shared" si="1"/>
        <v>30</v>
      </c>
      <c r="C77" s="19" t="s">
        <v>185</v>
      </c>
      <c r="D77" s="934" t="s">
        <v>1388</v>
      </c>
      <c r="E77" s="940">
        <v>0</v>
      </c>
      <c r="F77" s="940">
        <v>0</v>
      </c>
      <c r="G77" s="940">
        <v>0</v>
      </c>
      <c r="H77" s="940">
        <v>0</v>
      </c>
      <c r="I77" s="322" t="s">
        <v>77</v>
      </c>
      <c r="J77" s="322"/>
      <c r="K77" s="2"/>
    </row>
    <row r="78" spans="1:11" x14ac:dyDescent="0.25">
      <c r="A78" s="2">
        <f t="shared" si="1"/>
        <v>31</v>
      </c>
      <c r="C78" s="19" t="s">
        <v>186</v>
      </c>
      <c r="D78" s="934" t="s">
        <v>1388</v>
      </c>
      <c r="E78" s="940">
        <v>0</v>
      </c>
      <c r="F78" s="940">
        <v>0</v>
      </c>
      <c r="G78" s="940">
        <v>0</v>
      </c>
      <c r="H78" s="940">
        <v>0</v>
      </c>
      <c r="I78" s="322" t="s">
        <v>77</v>
      </c>
      <c r="J78" s="322"/>
      <c r="K78" s="2"/>
    </row>
    <row r="79" spans="1:11" x14ac:dyDescent="0.25">
      <c r="A79" s="2">
        <f t="shared" si="1"/>
        <v>32</v>
      </c>
      <c r="C79" s="18" t="s">
        <v>187</v>
      </c>
      <c r="D79" s="934" t="s">
        <v>1388</v>
      </c>
      <c r="E79" s="940">
        <v>0</v>
      </c>
      <c r="F79" s="940">
        <v>0</v>
      </c>
      <c r="G79" s="940">
        <v>0</v>
      </c>
      <c r="H79" s="940">
        <v>0</v>
      </c>
      <c r="I79" s="322" t="s">
        <v>77</v>
      </c>
      <c r="J79" s="322"/>
      <c r="K79" s="75"/>
    </row>
    <row r="80" spans="1:11" x14ac:dyDescent="0.25">
      <c r="A80" s="2">
        <f t="shared" si="1"/>
        <v>33</v>
      </c>
      <c r="C80" s="19" t="s">
        <v>188</v>
      </c>
      <c r="D80" s="934" t="s">
        <v>1388</v>
      </c>
      <c r="E80" s="940">
        <v>0</v>
      </c>
      <c r="F80" s="940">
        <v>0</v>
      </c>
      <c r="G80" s="940">
        <v>0</v>
      </c>
      <c r="H80" s="940">
        <v>0</v>
      </c>
      <c r="I80" s="322" t="s">
        <v>77</v>
      </c>
      <c r="J80" s="322"/>
      <c r="K80" s="2"/>
    </row>
    <row r="81" spans="1:11" x14ac:dyDescent="0.25">
      <c r="A81" s="2">
        <f t="shared" si="1"/>
        <v>34</v>
      </c>
      <c r="C81" s="19" t="s">
        <v>189</v>
      </c>
      <c r="D81" s="934" t="s">
        <v>1388</v>
      </c>
      <c r="E81" s="940">
        <v>0</v>
      </c>
      <c r="F81" s="940">
        <v>0</v>
      </c>
      <c r="G81" s="940">
        <v>0</v>
      </c>
      <c r="H81" s="940">
        <v>0</v>
      </c>
      <c r="I81" s="322" t="s">
        <v>77</v>
      </c>
      <c r="J81" s="322"/>
      <c r="K81" s="2"/>
    </row>
    <row r="82" spans="1:11" x14ac:dyDescent="0.25">
      <c r="A82" s="2">
        <f t="shared" si="1"/>
        <v>35</v>
      </c>
      <c r="C82" s="18" t="s">
        <v>190</v>
      </c>
      <c r="D82" s="934" t="s">
        <v>1388</v>
      </c>
      <c r="E82" s="940">
        <v>0</v>
      </c>
      <c r="F82" s="940">
        <v>0</v>
      </c>
      <c r="G82" s="940">
        <v>0</v>
      </c>
      <c r="H82" s="940">
        <v>0</v>
      </c>
      <c r="I82" s="322" t="s">
        <v>77</v>
      </c>
      <c r="J82" s="322"/>
      <c r="K82" s="2"/>
    </row>
    <row r="83" spans="1:11" x14ac:dyDescent="0.25">
      <c r="A83" s="2">
        <f t="shared" si="1"/>
        <v>36</v>
      </c>
      <c r="C83" s="18" t="s">
        <v>191</v>
      </c>
      <c r="D83" s="934" t="s">
        <v>1388</v>
      </c>
      <c r="E83" s="940">
        <v>0</v>
      </c>
      <c r="F83" s="940">
        <v>0</v>
      </c>
      <c r="G83" s="940">
        <v>0</v>
      </c>
      <c r="H83" s="940">
        <v>0</v>
      </c>
      <c r="I83" s="322" t="s">
        <v>77</v>
      </c>
      <c r="J83" s="322"/>
      <c r="K83" s="2"/>
    </row>
    <row r="84" spans="1:11" ht="15" x14ac:dyDescent="0.4">
      <c r="A84" s="2">
        <f t="shared" si="1"/>
        <v>37</v>
      </c>
      <c r="C84" s="18" t="s">
        <v>181</v>
      </c>
      <c r="D84" s="934" t="s">
        <v>1388</v>
      </c>
      <c r="E84" s="941">
        <v>0</v>
      </c>
      <c r="F84" s="941">
        <v>0</v>
      </c>
      <c r="G84" s="941">
        <v>0</v>
      </c>
      <c r="H84" s="941">
        <v>0</v>
      </c>
      <c r="I84" s="322" t="s">
        <v>77</v>
      </c>
      <c r="J84" s="322"/>
      <c r="K84" s="2"/>
    </row>
    <row r="85" spans="1:11" x14ac:dyDescent="0.25">
      <c r="A85" s="2">
        <f t="shared" si="1"/>
        <v>38</v>
      </c>
      <c r="C85" s="18"/>
      <c r="D85" s="163" t="s">
        <v>543</v>
      </c>
      <c r="E85" s="940">
        <v>0</v>
      </c>
      <c r="F85" s="940">
        <v>0</v>
      </c>
      <c r="G85" s="940">
        <v>0</v>
      </c>
      <c r="H85" s="940">
        <v>0</v>
      </c>
      <c r="I85" s="1"/>
      <c r="J85" s="1"/>
      <c r="K85" s="2"/>
    </row>
    <row r="87" spans="1:11" x14ac:dyDescent="0.25">
      <c r="A87" s="496"/>
      <c r="C87" s="497" t="s">
        <v>1548</v>
      </c>
      <c r="D87" s="498"/>
      <c r="E87" s="499"/>
      <c r="F87" s="499"/>
      <c r="G87" s="499"/>
      <c r="H87" s="499"/>
      <c r="I87" s="1"/>
      <c r="J87" s="1"/>
    </row>
    <row r="88" spans="1:11" x14ac:dyDescent="0.25">
      <c r="A88" s="496"/>
      <c r="C88" s="497"/>
      <c r="D88" s="498"/>
      <c r="E88" s="76" t="s">
        <v>363</v>
      </c>
      <c r="F88" s="76" t="s">
        <v>347</v>
      </c>
      <c r="G88" s="76" t="s">
        <v>348</v>
      </c>
      <c r="H88" s="499"/>
      <c r="I88" s="1"/>
      <c r="J88" s="1"/>
    </row>
    <row r="89" spans="1:11" x14ac:dyDescent="0.25">
      <c r="A89" s="496"/>
      <c r="C89" s="475"/>
      <c r="D89" s="498"/>
      <c r="G89" s="452" t="s">
        <v>1667</v>
      </c>
      <c r="H89" s="499"/>
      <c r="I89" s="1"/>
      <c r="J89" s="1"/>
    </row>
    <row r="90" spans="1:11" x14ac:dyDescent="0.25">
      <c r="A90" s="496"/>
      <c r="C90" s="475"/>
      <c r="D90" s="498"/>
      <c r="E90" s="319" t="s">
        <v>438</v>
      </c>
      <c r="F90" s="499"/>
      <c r="G90" s="500" t="s">
        <v>1549</v>
      </c>
      <c r="H90" s="499"/>
      <c r="I90" s="1"/>
      <c r="J90" s="1"/>
    </row>
    <row r="91" spans="1:11" x14ac:dyDescent="0.25">
      <c r="A91" s="496"/>
      <c r="C91" s="496" t="s">
        <v>535</v>
      </c>
      <c r="E91" s="319" t="s">
        <v>1550</v>
      </c>
      <c r="F91" s="319" t="s">
        <v>100</v>
      </c>
      <c r="G91" s="319" t="s">
        <v>1550</v>
      </c>
      <c r="H91" s="499"/>
      <c r="I91" s="1"/>
      <c r="J91" s="1"/>
    </row>
    <row r="92" spans="1:11" x14ac:dyDescent="0.25">
      <c r="A92" s="496"/>
      <c r="C92" s="496" t="s">
        <v>194</v>
      </c>
      <c r="E92" s="319" t="s">
        <v>8</v>
      </c>
      <c r="F92" s="4" t="s">
        <v>1551</v>
      </c>
      <c r="G92" s="319" t="s">
        <v>8</v>
      </c>
      <c r="H92" s="499"/>
      <c r="I92" s="1"/>
      <c r="J92" s="1"/>
    </row>
    <row r="93" spans="1:11" x14ac:dyDescent="0.25">
      <c r="A93" s="496"/>
      <c r="C93" s="22" t="s">
        <v>193</v>
      </c>
      <c r="D93" s="22" t="s">
        <v>194</v>
      </c>
      <c r="E93" s="320" t="s">
        <v>1552</v>
      </c>
      <c r="F93" s="3" t="s">
        <v>1553</v>
      </c>
      <c r="G93" s="320" t="s">
        <v>1552</v>
      </c>
      <c r="H93" s="320" t="s">
        <v>1554</v>
      </c>
      <c r="I93" s="1"/>
      <c r="J93" s="1"/>
    </row>
    <row r="94" spans="1:11" ht="12.75" customHeight="1" x14ac:dyDescent="0.25">
      <c r="A94" s="496">
        <f>A85+1</f>
        <v>39</v>
      </c>
      <c r="C94" s="475" t="s">
        <v>181</v>
      </c>
      <c r="D94" s="934" t="s">
        <v>1388</v>
      </c>
      <c r="E94" s="940">
        <v>0</v>
      </c>
      <c r="F94" s="922">
        <v>0</v>
      </c>
      <c r="G94" s="940">
        <v>0</v>
      </c>
      <c r="H94" s="504" t="s">
        <v>1564</v>
      </c>
      <c r="I94" s="1"/>
      <c r="J94" s="6"/>
    </row>
    <row r="95" spans="1:11" x14ac:dyDescent="0.25">
      <c r="A95" s="496">
        <f>A94+1</f>
        <v>40</v>
      </c>
      <c r="C95" s="475" t="s">
        <v>182</v>
      </c>
      <c r="D95" s="934" t="s">
        <v>1388</v>
      </c>
      <c r="E95" s="940">
        <v>0</v>
      </c>
      <c r="F95" s="922">
        <v>0</v>
      </c>
      <c r="G95" s="940">
        <v>0</v>
      </c>
      <c r="H95" s="504" t="s">
        <v>1563</v>
      </c>
      <c r="I95" s="66"/>
      <c r="J95" s="6"/>
    </row>
    <row r="96" spans="1:11" x14ac:dyDescent="0.25">
      <c r="A96" s="496">
        <f t="shared" ref="A96:A107" si="2">A95+1</f>
        <v>41</v>
      </c>
      <c r="C96" s="474" t="s">
        <v>183</v>
      </c>
      <c r="D96" s="934" t="s">
        <v>1388</v>
      </c>
      <c r="E96" s="940">
        <v>0</v>
      </c>
      <c r="F96" s="922">
        <v>0</v>
      </c>
      <c r="G96" s="940">
        <v>0</v>
      </c>
      <c r="H96" s="504"/>
      <c r="I96" s="66"/>
      <c r="J96" s="6"/>
    </row>
    <row r="97" spans="1:10" x14ac:dyDescent="0.25">
      <c r="A97" s="496">
        <f t="shared" si="2"/>
        <v>42</v>
      </c>
      <c r="C97" s="474" t="s">
        <v>196</v>
      </c>
      <c r="D97" s="934" t="s">
        <v>1388</v>
      </c>
      <c r="E97" s="940">
        <v>0</v>
      </c>
      <c r="F97" s="922">
        <v>0</v>
      </c>
      <c r="G97" s="940">
        <v>0</v>
      </c>
      <c r="H97" s="499"/>
      <c r="I97" s="66"/>
      <c r="J97" s="6"/>
    </row>
    <row r="98" spans="1:10" x14ac:dyDescent="0.25">
      <c r="A98" s="496">
        <f t="shared" si="2"/>
        <v>43</v>
      </c>
      <c r="C98" s="475" t="s">
        <v>184</v>
      </c>
      <c r="D98" s="934" t="s">
        <v>1388</v>
      </c>
      <c r="E98" s="940">
        <v>0</v>
      </c>
      <c r="F98" s="922">
        <v>0</v>
      </c>
      <c r="G98" s="940">
        <v>0</v>
      </c>
      <c r="H98" s="499"/>
      <c r="I98" s="66"/>
      <c r="J98" s="6"/>
    </row>
    <row r="99" spans="1:10" x14ac:dyDescent="0.25">
      <c r="A99" s="496">
        <f t="shared" si="2"/>
        <v>44</v>
      </c>
      <c r="C99" s="474" t="s">
        <v>185</v>
      </c>
      <c r="D99" s="934" t="s">
        <v>1388</v>
      </c>
      <c r="E99" s="940">
        <v>0</v>
      </c>
      <c r="F99" s="922">
        <v>0</v>
      </c>
      <c r="G99" s="940">
        <v>0</v>
      </c>
      <c r="H99" s="499"/>
      <c r="I99" s="66"/>
      <c r="J99" s="6"/>
    </row>
    <row r="100" spans="1:10" x14ac:dyDescent="0.25">
      <c r="A100" s="496">
        <f t="shared" si="2"/>
        <v>45</v>
      </c>
      <c r="C100" s="474" t="s">
        <v>186</v>
      </c>
      <c r="D100" s="934" t="s">
        <v>1388</v>
      </c>
      <c r="E100" s="940">
        <v>0</v>
      </c>
      <c r="F100" s="922">
        <v>0</v>
      </c>
      <c r="G100" s="940">
        <v>0</v>
      </c>
      <c r="H100" s="499"/>
      <c r="I100" s="66"/>
      <c r="J100" s="6"/>
    </row>
    <row r="101" spans="1:10" x14ac:dyDescent="0.25">
      <c r="A101" s="496">
        <f t="shared" si="2"/>
        <v>46</v>
      </c>
      <c r="C101" s="475" t="s">
        <v>187</v>
      </c>
      <c r="D101" s="934" t="s">
        <v>1388</v>
      </c>
      <c r="E101" s="940">
        <v>0</v>
      </c>
      <c r="F101" s="922">
        <v>0</v>
      </c>
      <c r="G101" s="940">
        <v>0</v>
      </c>
      <c r="H101" s="499"/>
      <c r="I101" s="66"/>
      <c r="J101" s="6"/>
    </row>
    <row r="102" spans="1:10" x14ac:dyDescent="0.25">
      <c r="A102" s="496">
        <f t="shared" si="2"/>
        <v>47</v>
      </c>
      <c r="C102" s="474" t="s">
        <v>188</v>
      </c>
      <c r="D102" s="934" t="s">
        <v>1388</v>
      </c>
      <c r="E102" s="940">
        <v>0</v>
      </c>
      <c r="F102" s="922">
        <v>0</v>
      </c>
      <c r="G102" s="940">
        <v>0</v>
      </c>
      <c r="H102" s="499"/>
      <c r="I102" s="66"/>
      <c r="J102" s="6"/>
    </row>
    <row r="103" spans="1:10" x14ac:dyDescent="0.25">
      <c r="A103" s="496">
        <f t="shared" si="2"/>
        <v>48</v>
      </c>
      <c r="C103" s="474" t="s">
        <v>189</v>
      </c>
      <c r="D103" s="934" t="s">
        <v>1388</v>
      </c>
      <c r="E103" s="940">
        <v>0</v>
      </c>
      <c r="F103" s="922">
        <v>0</v>
      </c>
      <c r="G103" s="940">
        <v>0</v>
      </c>
      <c r="H103" s="499"/>
      <c r="I103" s="66"/>
      <c r="J103" s="6"/>
    </row>
    <row r="104" spans="1:10" x14ac:dyDescent="0.25">
      <c r="A104" s="496">
        <f t="shared" si="2"/>
        <v>49</v>
      </c>
      <c r="C104" s="475" t="s">
        <v>190</v>
      </c>
      <c r="D104" s="934" t="s">
        <v>1388</v>
      </c>
      <c r="E104" s="940">
        <v>0</v>
      </c>
      <c r="F104" s="922">
        <v>0</v>
      </c>
      <c r="G104" s="940">
        <v>0</v>
      </c>
      <c r="H104" s="499"/>
      <c r="I104" s="66"/>
      <c r="J104" s="6"/>
    </row>
    <row r="105" spans="1:10" x14ac:dyDescent="0.25">
      <c r="A105" s="496">
        <f t="shared" si="2"/>
        <v>50</v>
      </c>
      <c r="C105" s="475" t="s">
        <v>191</v>
      </c>
      <c r="D105" s="934" t="s">
        <v>1388</v>
      </c>
      <c r="E105" s="940">
        <v>0</v>
      </c>
      <c r="F105" s="922">
        <v>0</v>
      </c>
      <c r="G105" s="940">
        <v>0</v>
      </c>
      <c r="H105" s="499"/>
      <c r="I105" s="66"/>
      <c r="J105" s="6"/>
    </row>
    <row r="106" spans="1:10" ht="15" x14ac:dyDescent="0.4">
      <c r="A106" s="496">
        <f t="shared" si="2"/>
        <v>51</v>
      </c>
      <c r="C106" s="475" t="s">
        <v>181</v>
      </c>
      <c r="D106" s="934" t="s">
        <v>1388</v>
      </c>
      <c r="E106" s="941">
        <v>0</v>
      </c>
      <c r="F106" s="923">
        <v>0</v>
      </c>
      <c r="G106" s="941">
        <v>0</v>
      </c>
      <c r="H106" s="499"/>
      <c r="I106" s="66"/>
      <c r="J106" s="6"/>
    </row>
    <row r="107" spans="1:10" x14ac:dyDescent="0.25">
      <c r="A107" s="496">
        <f t="shared" si="2"/>
        <v>52</v>
      </c>
      <c r="C107" s="475" t="s">
        <v>197</v>
      </c>
      <c r="D107" s="486"/>
      <c r="E107" s="940">
        <v>0</v>
      </c>
      <c r="F107" s="940">
        <v>0</v>
      </c>
      <c r="G107" s="940">
        <v>0</v>
      </c>
      <c r="H107" s="499"/>
      <c r="I107" s="66"/>
      <c r="J107" s="1"/>
    </row>
    <row r="108" spans="1:10" x14ac:dyDescent="0.25">
      <c r="A108" s="496"/>
      <c r="C108" s="475"/>
      <c r="D108" s="486"/>
      <c r="E108" s="56"/>
      <c r="F108" s="499"/>
      <c r="G108" s="499"/>
      <c r="H108" s="499"/>
      <c r="I108" s="66"/>
      <c r="J108" s="1"/>
    </row>
    <row r="110" spans="1:10" x14ac:dyDescent="0.25">
      <c r="C110" s="162" t="s">
        <v>1555</v>
      </c>
    </row>
    <row r="112" spans="1:10" x14ac:dyDescent="0.25">
      <c r="C112" s="1" t="s">
        <v>1556</v>
      </c>
      <c r="E112" s="76" t="s">
        <v>363</v>
      </c>
      <c r="F112" s="76" t="s">
        <v>347</v>
      </c>
      <c r="G112" s="76" t="s">
        <v>348</v>
      </c>
      <c r="H112" s="76" t="s">
        <v>349</v>
      </c>
    </row>
    <row r="113" spans="1:9" x14ac:dyDescent="0.25">
      <c r="G113" s="452" t="s">
        <v>1667</v>
      </c>
      <c r="H113" s="452" t="s">
        <v>1668</v>
      </c>
    </row>
    <row r="114" spans="1:9" x14ac:dyDescent="0.25">
      <c r="C114" s="496" t="s">
        <v>535</v>
      </c>
      <c r="H114" s="444" t="s">
        <v>1669</v>
      </c>
    </row>
    <row r="115" spans="1:9" x14ac:dyDescent="0.25">
      <c r="C115" s="496" t="s">
        <v>194</v>
      </c>
      <c r="E115" s="496" t="s">
        <v>376</v>
      </c>
      <c r="F115" s="496" t="s">
        <v>1557</v>
      </c>
      <c r="G115" s="496" t="s">
        <v>998</v>
      </c>
      <c r="H115" s="496" t="s">
        <v>1132</v>
      </c>
    </row>
    <row r="116" spans="1:9" x14ac:dyDescent="0.25">
      <c r="C116" s="22" t="s">
        <v>193</v>
      </c>
      <c r="D116" s="22" t="s">
        <v>194</v>
      </c>
      <c r="E116" s="3" t="s">
        <v>1558</v>
      </c>
      <c r="F116" s="3" t="s">
        <v>1086</v>
      </c>
      <c r="G116" s="3" t="s">
        <v>3</v>
      </c>
      <c r="H116" s="3" t="s">
        <v>1553</v>
      </c>
    </row>
    <row r="117" spans="1:9" x14ac:dyDescent="0.25">
      <c r="A117" s="496">
        <f>A107+1</f>
        <v>53</v>
      </c>
      <c r="C117" s="475" t="s">
        <v>181</v>
      </c>
      <c r="D117" s="934" t="s">
        <v>1388</v>
      </c>
      <c r="E117" s="922">
        <v>0</v>
      </c>
      <c r="F117" s="922">
        <v>0</v>
      </c>
      <c r="G117" s="940">
        <v>0</v>
      </c>
      <c r="H117" s="940">
        <v>0</v>
      </c>
      <c r="I117" s="548"/>
    </row>
    <row r="118" spans="1:9" x14ac:dyDescent="0.25">
      <c r="A118" s="496">
        <f>A117+1</f>
        <v>54</v>
      </c>
      <c r="C118" s="475" t="s">
        <v>182</v>
      </c>
      <c r="D118" s="934" t="s">
        <v>1388</v>
      </c>
      <c r="E118" s="922">
        <v>0</v>
      </c>
      <c r="F118" s="922">
        <v>0</v>
      </c>
      <c r="G118" s="940">
        <v>0</v>
      </c>
      <c r="H118" s="940">
        <v>0</v>
      </c>
    </row>
    <row r="119" spans="1:9" x14ac:dyDescent="0.25">
      <c r="A119" s="496">
        <f t="shared" ref="A119:A129" si="3">A118+1</f>
        <v>55</v>
      </c>
      <c r="C119" s="474" t="s">
        <v>183</v>
      </c>
      <c r="D119" s="934" t="s">
        <v>1388</v>
      </c>
      <c r="E119" s="922">
        <v>0</v>
      </c>
      <c r="F119" s="922">
        <v>0</v>
      </c>
      <c r="G119" s="940">
        <v>0</v>
      </c>
      <c r="H119" s="940">
        <v>0</v>
      </c>
    </row>
    <row r="120" spans="1:9" x14ac:dyDescent="0.25">
      <c r="A120" s="496">
        <f t="shared" si="3"/>
        <v>56</v>
      </c>
      <c r="C120" s="474" t="s">
        <v>196</v>
      </c>
      <c r="D120" s="934" t="s">
        <v>1388</v>
      </c>
      <c r="E120" s="922">
        <v>0</v>
      </c>
      <c r="F120" s="922">
        <v>0</v>
      </c>
      <c r="G120" s="940">
        <v>0</v>
      </c>
      <c r="H120" s="940">
        <v>0</v>
      </c>
    </row>
    <row r="121" spans="1:9" x14ac:dyDescent="0.25">
      <c r="A121" s="496">
        <f t="shared" si="3"/>
        <v>57</v>
      </c>
      <c r="C121" s="475" t="s">
        <v>184</v>
      </c>
      <c r="D121" s="934" t="s">
        <v>1388</v>
      </c>
      <c r="E121" s="922">
        <v>0</v>
      </c>
      <c r="F121" s="922">
        <v>0</v>
      </c>
      <c r="G121" s="940">
        <v>0</v>
      </c>
      <c r="H121" s="940">
        <v>0</v>
      </c>
    </row>
    <row r="122" spans="1:9" x14ac:dyDescent="0.25">
      <c r="A122" s="496">
        <f t="shared" si="3"/>
        <v>58</v>
      </c>
      <c r="C122" s="474" t="s">
        <v>185</v>
      </c>
      <c r="D122" s="934" t="s">
        <v>1388</v>
      </c>
      <c r="E122" s="922">
        <v>0</v>
      </c>
      <c r="F122" s="922">
        <v>0</v>
      </c>
      <c r="G122" s="940">
        <v>0</v>
      </c>
      <c r="H122" s="940">
        <v>0</v>
      </c>
    </row>
    <row r="123" spans="1:9" x14ac:dyDescent="0.25">
      <c r="A123" s="496">
        <f t="shared" si="3"/>
        <v>59</v>
      </c>
      <c r="C123" s="474" t="s">
        <v>186</v>
      </c>
      <c r="D123" s="934" t="s">
        <v>1388</v>
      </c>
      <c r="E123" s="922">
        <v>0</v>
      </c>
      <c r="F123" s="922">
        <v>0</v>
      </c>
      <c r="G123" s="940">
        <v>0</v>
      </c>
      <c r="H123" s="940">
        <v>0</v>
      </c>
    </row>
    <row r="124" spans="1:9" x14ac:dyDescent="0.25">
      <c r="A124" s="496">
        <f t="shared" si="3"/>
        <v>60</v>
      </c>
      <c r="C124" s="475" t="s">
        <v>187</v>
      </c>
      <c r="D124" s="934" t="s">
        <v>1388</v>
      </c>
      <c r="E124" s="922">
        <v>0</v>
      </c>
      <c r="F124" s="922">
        <v>0</v>
      </c>
      <c r="G124" s="940">
        <v>0</v>
      </c>
      <c r="H124" s="940">
        <v>0</v>
      </c>
    </row>
    <row r="125" spans="1:9" x14ac:dyDescent="0.25">
      <c r="A125" s="496">
        <f t="shared" si="3"/>
        <v>61</v>
      </c>
      <c r="C125" s="474" t="s">
        <v>188</v>
      </c>
      <c r="D125" s="934" t="s">
        <v>1388</v>
      </c>
      <c r="E125" s="922">
        <v>0</v>
      </c>
      <c r="F125" s="922">
        <v>0</v>
      </c>
      <c r="G125" s="940">
        <v>0</v>
      </c>
      <c r="H125" s="940">
        <v>0</v>
      </c>
    </row>
    <row r="126" spans="1:9" x14ac:dyDescent="0.25">
      <c r="A126" s="496">
        <f t="shared" si="3"/>
        <v>62</v>
      </c>
      <c r="C126" s="474" t="s">
        <v>189</v>
      </c>
      <c r="D126" s="934" t="s">
        <v>1388</v>
      </c>
      <c r="E126" s="922">
        <v>0</v>
      </c>
      <c r="F126" s="922">
        <v>0</v>
      </c>
      <c r="G126" s="940">
        <v>0</v>
      </c>
      <c r="H126" s="940">
        <v>0</v>
      </c>
    </row>
    <row r="127" spans="1:9" x14ac:dyDescent="0.25">
      <c r="A127" s="496">
        <f t="shared" si="3"/>
        <v>63</v>
      </c>
      <c r="C127" s="475" t="s">
        <v>190</v>
      </c>
      <c r="D127" s="934" t="s">
        <v>1388</v>
      </c>
      <c r="E127" s="922">
        <v>0</v>
      </c>
      <c r="F127" s="922">
        <v>0</v>
      </c>
      <c r="G127" s="940">
        <v>0</v>
      </c>
      <c r="H127" s="940">
        <v>0</v>
      </c>
    </row>
    <row r="128" spans="1:9" x14ac:dyDescent="0.25">
      <c r="A128" s="496">
        <f t="shared" si="3"/>
        <v>64</v>
      </c>
      <c r="C128" s="475" t="s">
        <v>191</v>
      </c>
      <c r="D128" s="934" t="s">
        <v>1388</v>
      </c>
      <c r="E128" s="922">
        <v>0</v>
      </c>
      <c r="F128" s="922">
        <v>0</v>
      </c>
      <c r="G128" s="940">
        <v>0</v>
      </c>
      <c r="H128" s="940">
        <v>0</v>
      </c>
    </row>
    <row r="129" spans="1:8" x14ac:dyDescent="0.25">
      <c r="A129" s="496">
        <f t="shared" si="3"/>
        <v>65</v>
      </c>
      <c r="C129" s="475" t="s">
        <v>181</v>
      </c>
      <c r="D129" s="934" t="s">
        <v>1388</v>
      </c>
      <c r="E129" s="922">
        <v>0</v>
      </c>
      <c r="F129" s="922">
        <v>0</v>
      </c>
      <c r="G129" s="940">
        <v>0</v>
      </c>
      <c r="H129" s="940">
        <v>0</v>
      </c>
    </row>
    <row r="130" spans="1:8" x14ac:dyDescent="0.25">
      <c r="A130" s="496"/>
      <c r="C130" s="475"/>
      <c r="D130" s="486"/>
    </row>
    <row r="132" spans="1:8" x14ac:dyDescent="0.25">
      <c r="C132" s="162" t="s">
        <v>1559</v>
      </c>
      <c r="E132" s="76" t="s">
        <v>363</v>
      </c>
      <c r="F132" s="76" t="s">
        <v>347</v>
      </c>
      <c r="G132" s="76" t="s">
        <v>348</v>
      </c>
      <c r="H132" s="76" t="s">
        <v>349</v>
      </c>
    </row>
    <row r="133" spans="1:8" x14ac:dyDescent="0.25">
      <c r="G133" s="452" t="s">
        <v>1667</v>
      </c>
      <c r="H133" s="452" t="s">
        <v>1668</v>
      </c>
    </row>
    <row r="134" spans="1:8" x14ac:dyDescent="0.25">
      <c r="C134" s="496" t="s">
        <v>535</v>
      </c>
      <c r="H134" s="444" t="s">
        <v>1669</v>
      </c>
    </row>
    <row r="135" spans="1:8" x14ac:dyDescent="0.25">
      <c r="C135" s="496" t="s">
        <v>194</v>
      </c>
      <c r="E135" s="496" t="s">
        <v>376</v>
      </c>
      <c r="F135" s="496" t="s">
        <v>1557</v>
      </c>
      <c r="G135" s="496" t="s">
        <v>998</v>
      </c>
      <c r="H135" s="496" t="s">
        <v>1132</v>
      </c>
    </row>
    <row r="136" spans="1:8" x14ac:dyDescent="0.25">
      <c r="C136" s="22" t="s">
        <v>193</v>
      </c>
      <c r="D136" s="22" t="s">
        <v>194</v>
      </c>
      <c r="E136" s="3" t="s">
        <v>1558</v>
      </c>
      <c r="F136" s="3" t="s">
        <v>1086</v>
      </c>
      <c r="G136" s="3" t="s">
        <v>3</v>
      </c>
      <c r="H136" s="3" t="s">
        <v>1553</v>
      </c>
    </row>
    <row r="137" spans="1:8" x14ac:dyDescent="0.25">
      <c r="A137" s="496">
        <f>A129+1</f>
        <v>66</v>
      </c>
      <c r="C137" s="475" t="s">
        <v>181</v>
      </c>
      <c r="D137" s="934" t="s">
        <v>1388</v>
      </c>
      <c r="E137" s="922">
        <v>0</v>
      </c>
      <c r="F137" s="922">
        <v>0</v>
      </c>
      <c r="G137" s="940">
        <v>0</v>
      </c>
      <c r="H137" s="940">
        <v>0</v>
      </c>
    </row>
    <row r="138" spans="1:8" x14ac:dyDescent="0.25">
      <c r="A138" s="496">
        <f>A137+1</f>
        <v>67</v>
      </c>
      <c r="C138" s="475" t="s">
        <v>182</v>
      </c>
      <c r="D138" s="934" t="s">
        <v>1388</v>
      </c>
      <c r="E138" s="922">
        <v>0</v>
      </c>
      <c r="F138" s="922">
        <v>0</v>
      </c>
      <c r="G138" s="940">
        <v>0</v>
      </c>
      <c r="H138" s="940">
        <v>0</v>
      </c>
    </row>
    <row r="139" spans="1:8" x14ac:dyDescent="0.25">
      <c r="A139" s="496">
        <f t="shared" ref="A139:A149" si="4">A138+1</f>
        <v>68</v>
      </c>
      <c r="C139" s="474" t="s">
        <v>183</v>
      </c>
      <c r="D139" s="934" t="s">
        <v>1388</v>
      </c>
      <c r="E139" s="922">
        <v>0</v>
      </c>
      <c r="F139" s="922">
        <v>0</v>
      </c>
      <c r="G139" s="940">
        <v>0</v>
      </c>
      <c r="H139" s="940">
        <v>0</v>
      </c>
    </row>
    <row r="140" spans="1:8" x14ac:dyDescent="0.25">
      <c r="A140" s="496">
        <f t="shared" si="4"/>
        <v>69</v>
      </c>
      <c r="C140" s="474" t="s">
        <v>196</v>
      </c>
      <c r="D140" s="934" t="s">
        <v>1388</v>
      </c>
      <c r="E140" s="922">
        <v>0</v>
      </c>
      <c r="F140" s="922">
        <v>0</v>
      </c>
      <c r="G140" s="940">
        <v>0</v>
      </c>
      <c r="H140" s="940">
        <v>0</v>
      </c>
    </row>
    <row r="141" spans="1:8" x14ac:dyDescent="0.25">
      <c r="A141" s="496">
        <f t="shared" si="4"/>
        <v>70</v>
      </c>
      <c r="C141" s="475" t="s">
        <v>184</v>
      </c>
      <c r="D141" s="934" t="s">
        <v>1388</v>
      </c>
      <c r="E141" s="922">
        <v>0</v>
      </c>
      <c r="F141" s="922">
        <v>0</v>
      </c>
      <c r="G141" s="940">
        <v>0</v>
      </c>
      <c r="H141" s="940">
        <v>0</v>
      </c>
    </row>
    <row r="142" spans="1:8" x14ac:dyDescent="0.25">
      <c r="A142" s="496">
        <f t="shared" si="4"/>
        <v>71</v>
      </c>
      <c r="C142" s="474" t="s">
        <v>185</v>
      </c>
      <c r="D142" s="934" t="s">
        <v>1388</v>
      </c>
      <c r="E142" s="922">
        <v>0</v>
      </c>
      <c r="F142" s="922">
        <v>0</v>
      </c>
      <c r="G142" s="940">
        <v>0</v>
      </c>
      <c r="H142" s="940">
        <v>0</v>
      </c>
    </row>
    <row r="143" spans="1:8" x14ac:dyDescent="0.25">
      <c r="A143" s="496">
        <f t="shared" si="4"/>
        <v>72</v>
      </c>
      <c r="C143" s="474" t="s">
        <v>186</v>
      </c>
      <c r="D143" s="934" t="s">
        <v>1388</v>
      </c>
      <c r="E143" s="922">
        <v>0</v>
      </c>
      <c r="F143" s="922">
        <v>0</v>
      </c>
      <c r="G143" s="940">
        <v>0</v>
      </c>
      <c r="H143" s="940">
        <v>0</v>
      </c>
    </row>
    <row r="144" spans="1:8" x14ac:dyDescent="0.25">
      <c r="A144" s="496">
        <f t="shared" si="4"/>
        <v>73</v>
      </c>
      <c r="C144" s="475" t="s">
        <v>187</v>
      </c>
      <c r="D144" s="934" t="s">
        <v>1388</v>
      </c>
      <c r="E144" s="922">
        <v>0</v>
      </c>
      <c r="F144" s="922">
        <v>0</v>
      </c>
      <c r="G144" s="940">
        <v>0</v>
      </c>
      <c r="H144" s="940">
        <v>0</v>
      </c>
    </row>
    <row r="145" spans="1:8" x14ac:dyDescent="0.25">
      <c r="A145" s="496">
        <f t="shared" si="4"/>
        <v>74</v>
      </c>
      <c r="C145" s="474" t="s">
        <v>188</v>
      </c>
      <c r="D145" s="934" t="s">
        <v>1388</v>
      </c>
      <c r="E145" s="922">
        <v>0</v>
      </c>
      <c r="F145" s="922">
        <v>0</v>
      </c>
      <c r="G145" s="940">
        <v>0</v>
      </c>
      <c r="H145" s="940">
        <v>0</v>
      </c>
    </row>
    <row r="146" spans="1:8" x14ac:dyDescent="0.25">
      <c r="A146" s="496">
        <f t="shared" si="4"/>
        <v>75</v>
      </c>
      <c r="C146" s="474" t="s">
        <v>189</v>
      </c>
      <c r="D146" s="934" t="s">
        <v>1388</v>
      </c>
      <c r="E146" s="922">
        <v>0</v>
      </c>
      <c r="F146" s="922">
        <v>0</v>
      </c>
      <c r="G146" s="940">
        <v>0</v>
      </c>
      <c r="H146" s="940">
        <v>0</v>
      </c>
    </row>
    <row r="147" spans="1:8" x14ac:dyDescent="0.25">
      <c r="A147" s="496">
        <f t="shared" si="4"/>
        <v>76</v>
      </c>
      <c r="C147" s="475" t="s">
        <v>190</v>
      </c>
      <c r="D147" s="934" t="s">
        <v>1388</v>
      </c>
      <c r="E147" s="922">
        <v>0</v>
      </c>
      <c r="F147" s="922">
        <v>0</v>
      </c>
      <c r="G147" s="940">
        <v>0</v>
      </c>
      <c r="H147" s="940">
        <v>0</v>
      </c>
    </row>
    <row r="148" spans="1:8" x14ac:dyDescent="0.25">
      <c r="A148" s="496">
        <f t="shared" si="4"/>
        <v>77</v>
      </c>
      <c r="C148" s="475" t="s">
        <v>191</v>
      </c>
      <c r="D148" s="934" t="s">
        <v>1388</v>
      </c>
      <c r="E148" s="922">
        <v>0</v>
      </c>
      <c r="F148" s="922">
        <v>0</v>
      </c>
      <c r="G148" s="940">
        <v>0</v>
      </c>
      <c r="H148" s="940">
        <v>0</v>
      </c>
    </row>
    <row r="149" spans="1:8" x14ac:dyDescent="0.25">
      <c r="A149" s="496">
        <f t="shared" si="4"/>
        <v>78</v>
      </c>
      <c r="C149" s="475" t="s">
        <v>181</v>
      </c>
      <c r="D149" s="934" t="s">
        <v>1388</v>
      </c>
      <c r="E149" s="922">
        <v>0</v>
      </c>
      <c r="F149" s="922">
        <v>0</v>
      </c>
      <c r="G149" s="940">
        <v>0</v>
      </c>
      <c r="H149" s="940">
        <v>0</v>
      </c>
    </row>
    <row r="150" spans="1:8" x14ac:dyDescent="0.25">
      <c r="A150" s="496"/>
    </row>
    <row r="151" spans="1:8" ht="12.75" customHeight="1" x14ac:dyDescent="0.25"/>
    <row r="152" spans="1:8" x14ac:dyDescent="0.25">
      <c r="C152" s="162" t="s">
        <v>1560</v>
      </c>
      <c r="E152" s="76" t="s">
        <v>363</v>
      </c>
      <c r="F152" s="76" t="s">
        <v>347</v>
      </c>
      <c r="G152" s="76" t="s">
        <v>348</v>
      </c>
      <c r="H152" s="76" t="s">
        <v>349</v>
      </c>
    </row>
    <row r="153" spans="1:8" x14ac:dyDescent="0.25">
      <c r="G153" s="452" t="s">
        <v>1667</v>
      </c>
      <c r="H153" s="452" t="s">
        <v>1668</v>
      </c>
    </row>
    <row r="154" spans="1:8" x14ac:dyDescent="0.25">
      <c r="C154" s="496" t="s">
        <v>535</v>
      </c>
      <c r="H154" s="444" t="s">
        <v>1669</v>
      </c>
    </row>
    <row r="155" spans="1:8" x14ac:dyDescent="0.25">
      <c r="C155" s="496" t="s">
        <v>194</v>
      </c>
      <c r="E155" s="496" t="s">
        <v>376</v>
      </c>
      <c r="F155" s="496" t="s">
        <v>1557</v>
      </c>
      <c r="G155" s="496" t="s">
        <v>998</v>
      </c>
      <c r="H155" s="496" t="s">
        <v>1132</v>
      </c>
    </row>
    <row r="156" spans="1:8" x14ac:dyDescent="0.25">
      <c r="C156" s="22" t="s">
        <v>193</v>
      </c>
      <c r="D156" s="22" t="s">
        <v>194</v>
      </c>
      <c r="E156" s="3" t="s">
        <v>1558</v>
      </c>
      <c r="F156" s="3" t="s">
        <v>1086</v>
      </c>
      <c r="G156" s="3" t="s">
        <v>3</v>
      </c>
      <c r="H156" s="3" t="s">
        <v>1553</v>
      </c>
    </row>
    <row r="157" spans="1:8" x14ac:dyDescent="0.25">
      <c r="A157" s="496">
        <f>A149+1</f>
        <v>79</v>
      </c>
      <c r="C157" s="475" t="s">
        <v>181</v>
      </c>
      <c r="D157" s="934" t="s">
        <v>1388</v>
      </c>
      <c r="E157" s="922">
        <v>0</v>
      </c>
      <c r="F157" s="922">
        <v>0</v>
      </c>
      <c r="G157" s="940">
        <v>0</v>
      </c>
      <c r="H157" s="940">
        <v>0</v>
      </c>
    </row>
    <row r="158" spans="1:8" x14ac:dyDescent="0.25">
      <c r="A158" s="496">
        <f>A157+1</f>
        <v>80</v>
      </c>
      <c r="C158" s="475" t="s">
        <v>182</v>
      </c>
      <c r="D158" s="934" t="s">
        <v>1388</v>
      </c>
      <c r="E158" s="922">
        <v>0</v>
      </c>
      <c r="F158" s="922">
        <v>0</v>
      </c>
      <c r="G158" s="940">
        <v>0</v>
      </c>
      <c r="H158" s="940">
        <v>0</v>
      </c>
    </row>
    <row r="159" spans="1:8" x14ac:dyDescent="0.25">
      <c r="A159" s="496">
        <f t="shared" ref="A159:A169" si="5">A158+1</f>
        <v>81</v>
      </c>
      <c r="C159" s="474" t="s">
        <v>183</v>
      </c>
      <c r="D159" s="934" t="s">
        <v>1388</v>
      </c>
      <c r="E159" s="922">
        <v>0</v>
      </c>
      <c r="F159" s="922">
        <v>0</v>
      </c>
      <c r="G159" s="940">
        <v>0</v>
      </c>
      <c r="H159" s="940">
        <v>0</v>
      </c>
    </row>
    <row r="160" spans="1:8" x14ac:dyDescent="0.25">
      <c r="A160" s="496">
        <f t="shared" si="5"/>
        <v>82</v>
      </c>
      <c r="C160" s="474" t="s">
        <v>196</v>
      </c>
      <c r="D160" s="934" t="s">
        <v>1388</v>
      </c>
      <c r="E160" s="922">
        <v>0</v>
      </c>
      <c r="F160" s="922">
        <v>0</v>
      </c>
      <c r="G160" s="940">
        <v>0</v>
      </c>
      <c r="H160" s="940">
        <v>0</v>
      </c>
    </row>
    <row r="161" spans="1:8" x14ac:dyDescent="0.25">
      <c r="A161" s="496">
        <f t="shared" si="5"/>
        <v>83</v>
      </c>
      <c r="C161" s="475" t="s">
        <v>184</v>
      </c>
      <c r="D161" s="934" t="s">
        <v>1388</v>
      </c>
      <c r="E161" s="922">
        <v>0</v>
      </c>
      <c r="F161" s="922">
        <v>0</v>
      </c>
      <c r="G161" s="940">
        <v>0</v>
      </c>
      <c r="H161" s="940">
        <v>0</v>
      </c>
    </row>
    <row r="162" spans="1:8" x14ac:dyDescent="0.25">
      <c r="A162" s="496">
        <f t="shared" si="5"/>
        <v>84</v>
      </c>
      <c r="C162" s="474" t="s">
        <v>185</v>
      </c>
      <c r="D162" s="934" t="s">
        <v>1388</v>
      </c>
      <c r="E162" s="922">
        <v>0</v>
      </c>
      <c r="F162" s="922">
        <v>0</v>
      </c>
      <c r="G162" s="940">
        <v>0</v>
      </c>
      <c r="H162" s="940">
        <v>0</v>
      </c>
    </row>
    <row r="163" spans="1:8" x14ac:dyDescent="0.25">
      <c r="A163" s="496">
        <f t="shared" si="5"/>
        <v>85</v>
      </c>
      <c r="C163" s="474" t="s">
        <v>186</v>
      </c>
      <c r="D163" s="934" t="s">
        <v>1388</v>
      </c>
      <c r="E163" s="922">
        <v>0</v>
      </c>
      <c r="F163" s="922">
        <v>0</v>
      </c>
      <c r="G163" s="940">
        <v>0</v>
      </c>
      <c r="H163" s="940">
        <v>0</v>
      </c>
    </row>
    <row r="164" spans="1:8" x14ac:dyDescent="0.25">
      <c r="A164" s="496">
        <f t="shared" si="5"/>
        <v>86</v>
      </c>
      <c r="C164" s="475" t="s">
        <v>187</v>
      </c>
      <c r="D164" s="934" t="s">
        <v>1388</v>
      </c>
      <c r="E164" s="922">
        <v>0</v>
      </c>
      <c r="F164" s="922">
        <v>0</v>
      </c>
      <c r="G164" s="940">
        <v>0</v>
      </c>
      <c r="H164" s="940">
        <v>0</v>
      </c>
    </row>
    <row r="165" spans="1:8" x14ac:dyDescent="0.25">
      <c r="A165" s="496">
        <f t="shared" si="5"/>
        <v>87</v>
      </c>
      <c r="C165" s="474" t="s">
        <v>188</v>
      </c>
      <c r="D165" s="934" t="s">
        <v>1388</v>
      </c>
      <c r="E165" s="922">
        <v>0</v>
      </c>
      <c r="F165" s="922">
        <v>0</v>
      </c>
      <c r="G165" s="940">
        <v>0</v>
      </c>
      <c r="H165" s="940">
        <v>0</v>
      </c>
    </row>
    <row r="166" spans="1:8" x14ac:dyDescent="0.25">
      <c r="A166" s="496">
        <f t="shared" si="5"/>
        <v>88</v>
      </c>
      <c r="C166" s="474" t="s">
        <v>189</v>
      </c>
      <c r="D166" s="934" t="s">
        <v>1388</v>
      </c>
      <c r="E166" s="922">
        <v>0</v>
      </c>
      <c r="F166" s="922">
        <v>0</v>
      </c>
      <c r="G166" s="940">
        <v>0</v>
      </c>
      <c r="H166" s="940">
        <v>0</v>
      </c>
    </row>
    <row r="167" spans="1:8" x14ac:dyDescent="0.25">
      <c r="A167" s="496">
        <f t="shared" si="5"/>
        <v>89</v>
      </c>
      <c r="C167" s="475" t="s">
        <v>190</v>
      </c>
      <c r="D167" s="934" t="s">
        <v>1388</v>
      </c>
      <c r="E167" s="922">
        <v>0</v>
      </c>
      <c r="F167" s="922">
        <v>0</v>
      </c>
      <c r="G167" s="940">
        <v>0</v>
      </c>
      <c r="H167" s="940">
        <v>0</v>
      </c>
    </row>
    <row r="168" spans="1:8" x14ac:dyDescent="0.25">
      <c r="A168" s="496">
        <f t="shared" si="5"/>
        <v>90</v>
      </c>
      <c r="C168" s="475" t="s">
        <v>191</v>
      </c>
      <c r="D168" s="934" t="s">
        <v>1388</v>
      </c>
      <c r="E168" s="922">
        <v>0</v>
      </c>
      <c r="F168" s="922">
        <v>0</v>
      </c>
      <c r="G168" s="940">
        <v>0</v>
      </c>
      <c r="H168" s="940">
        <v>0</v>
      </c>
    </row>
    <row r="169" spans="1:8" x14ac:dyDescent="0.25">
      <c r="A169" s="496">
        <f t="shared" si="5"/>
        <v>91</v>
      </c>
      <c r="C169" s="475" t="s">
        <v>181</v>
      </c>
      <c r="D169" s="934" t="s">
        <v>1388</v>
      </c>
      <c r="E169" s="922">
        <v>0</v>
      </c>
      <c r="F169" s="922">
        <v>0</v>
      </c>
      <c r="G169" s="940">
        <v>0</v>
      </c>
      <c r="H169" s="940">
        <v>0</v>
      </c>
    </row>
    <row r="171" spans="1:8" x14ac:dyDescent="0.25">
      <c r="C171" s="162" t="s">
        <v>2425</v>
      </c>
      <c r="E171" s="76" t="s">
        <v>363</v>
      </c>
      <c r="F171" s="76" t="s">
        <v>347</v>
      </c>
      <c r="G171" s="76" t="s">
        <v>348</v>
      </c>
      <c r="H171" s="76" t="s">
        <v>349</v>
      </c>
    </row>
    <row r="172" spans="1:8" x14ac:dyDescent="0.25">
      <c r="G172" s="452" t="s">
        <v>1667</v>
      </c>
      <c r="H172" s="452" t="s">
        <v>1668</v>
      </c>
    </row>
    <row r="173" spans="1:8" x14ac:dyDescent="0.25">
      <c r="C173" s="496" t="s">
        <v>535</v>
      </c>
      <c r="H173" s="444" t="s">
        <v>1669</v>
      </c>
    </row>
    <row r="174" spans="1:8" x14ac:dyDescent="0.25">
      <c r="C174" s="496" t="s">
        <v>194</v>
      </c>
      <c r="E174" s="496" t="s">
        <v>376</v>
      </c>
      <c r="F174" s="496" t="s">
        <v>1557</v>
      </c>
      <c r="G174" s="496" t="s">
        <v>998</v>
      </c>
      <c r="H174" s="496" t="s">
        <v>1132</v>
      </c>
    </row>
    <row r="175" spans="1:8" x14ac:dyDescent="0.25">
      <c r="C175" s="22" t="s">
        <v>193</v>
      </c>
      <c r="D175" s="22" t="s">
        <v>194</v>
      </c>
      <c r="E175" s="3" t="s">
        <v>1558</v>
      </c>
      <c r="F175" s="3" t="s">
        <v>1086</v>
      </c>
      <c r="G175" s="3" t="s">
        <v>3</v>
      </c>
      <c r="H175" s="3" t="s">
        <v>1553</v>
      </c>
    </row>
    <row r="176" spans="1:8" x14ac:dyDescent="0.25">
      <c r="A176" s="496">
        <f>A169+1</f>
        <v>92</v>
      </c>
      <c r="C176" s="475" t="s">
        <v>181</v>
      </c>
      <c r="D176" s="934" t="s">
        <v>1388</v>
      </c>
      <c r="E176" s="922">
        <v>0</v>
      </c>
      <c r="F176" s="922">
        <v>0</v>
      </c>
      <c r="G176" s="940">
        <v>0</v>
      </c>
      <c r="H176" s="940">
        <v>0</v>
      </c>
    </row>
    <row r="177" spans="1:8" x14ac:dyDescent="0.25">
      <c r="A177" s="496">
        <f>A176+1</f>
        <v>93</v>
      </c>
      <c r="C177" s="475" t="s">
        <v>182</v>
      </c>
      <c r="D177" s="934" t="s">
        <v>1388</v>
      </c>
      <c r="E177" s="922">
        <v>0</v>
      </c>
      <c r="F177" s="922">
        <v>0</v>
      </c>
      <c r="G177" s="940">
        <v>0</v>
      </c>
      <c r="H177" s="940">
        <v>0</v>
      </c>
    </row>
    <row r="178" spans="1:8" x14ac:dyDescent="0.25">
      <c r="A178" s="496">
        <f t="shared" ref="A178:A188" si="6">A177+1</f>
        <v>94</v>
      </c>
      <c r="C178" s="474" t="s">
        <v>183</v>
      </c>
      <c r="D178" s="934" t="s">
        <v>1388</v>
      </c>
      <c r="E178" s="922">
        <v>0</v>
      </c>
      <c r="F178" s="922">
        <v>0</v>
      </c>
      <c r="G178" s="940">
        <v>0</v>
      </c>
      <c r="H178" s="940">
        <v>0</v>
      </c>
    </row>
    <row r="179" spans="1:8" x14ac:dyDescent="0.25">
      <c r="A179" s="496">
        <f t="shared" si="6"/>
        <v>95</v>
      </c>
      <c r="C179" s="474" t="s">
        <v>196</v>
      </c>
      <c r="D179" s="934" t="s">
        <v>1388</v>
      </c>
      <c r="E179" s="922">
        <v>0</v>
      </c>
      <c r="F179" s="922">
        <v>0</v>
      </c>
      <c r="G179" s="940">
        <v>0</v>
      </c>
      <c r="H179" s="940">
        <v>0</v>
      </c>
    </row>
    <row r="180" spans="1:8" x14ac:dyDescent="0.25">
      <c r="A180" s="496">
        <f t="shared" si="6"/>
        <v>96</v>
      </c>
      <c r="C180" s="475" t="s">
        <v>184</v>
      </c>
      <c r="D180" s="934" t="s">
        <v>1388</v>
      </c>
      <c r="E180" s="922">
        <v>0</v>
      </c>
      <c r="F180" s="922">
        <v>0</v>
      </c>
      <c r="G180" s="940">
        <v>0</v>
      </c>
      <c r="H180" s="940">
        <v>0</v>
      </c>
    </row>
    <row r="181" spans="1:8" x14ac:dyDescent="0.25">
      <c r="A181" s="496">
        <f t="shared" si="6"/>
        <v>97</v>
      </c>
      <c r="C181" s="474" t="s">
        <v>185</v>
      </c>
      <c r="D181" s="934" t="s">
        <v>1388</v>
      </c>
      <c r="E181" s="922">
        <v>0</v>
      </c>
      <c r="F181" s="922">
        <v>0</v>
      </c>
      <c r="G181" s="940">
        <v>0</v>
      </c>
      <c r="H181" s="940">
        <v>0</v>
      </c>
    </row>
    <row r="182" spans="1:8" x14ac:dyDescent="0.25">
      <c r="A182" s="496">
        <f t="shared" si="6"/>
        <v>98</v>
      </c>
      <c r="C182" s="474" t="s">
        <v>186</v>
      </c>
      <c r="D182" s="934" t="s">
        <v>1388</v>
      </c>
      <c r="E182" s="922">
        <v>0</v>
      </c>
      <c r="F182" s="922">
        <v>0</v>
      </c>
      <c r="G182" s="940">
        <v>0</v>
      </c>
      <c r="H182" s="940">
        <v>0</v>
      </c>
    </row>
    <row r="183" spans="1:8" x14ac:dyDescent="0.25">
      <c r="A183" s="496">
        <f t="shared" si="6"/>
        <v>99</v>
      </c>
      <c r="C183" s="475" t="s">
        <v>187</v>
      </c>
      <c r="D183" s="934" t="s">
        <v>1388</v>
      </c>
      <c r="E183" s="922">
        <v>0</v>
      </c>
      <c r="F183" s="922">
        <v>0</v>
      </c>
      <c r="G183" s="940">
        <v>0</v>
      </c>
      <c r="H183" s="940">
        <v>0</v>
      </c>
    </row>
    <row r="184" spans="1:8" x14ac:dyDescent="0.25">
      <c r="A184" s="496">
        <f t="shared" si="6"/>
        <v>100</v>
      </c>
      <c r="C184" s="474" t="s">
        <v>188</v>
      </c>
      <c r="D184" s="934" t="s">
        <v>1388</v>
      </c>
      <c r="E184" s="922">
        <v>0</v>
      </c>
      <c r="F184" s="922">
        <v>0</v>
      </c>
      <c r="G184" s="940">
        <v>0</v>
      </c>
      <c r="H184" s="940">
        <v>0</v>
      </c>
    </row>
    <row r="185" spans="1:8" x14ac:dyDescent="0.25">
      <c r="A185" s="496">
        <f t="shared" si="6"/>
        <v>101</v>
      </c>
      <c r="C185" s="474" t="s">
        <v>189</v>
      </c>
      <c r="D185" s="934" t="s">
        <v>1388</v>
      </c>
      <c r="E185" s="922">
        <v>0</v>
      </c>
      <c r="F185" s="922">
        <v>0</v>
      </c>
      <c r="G185" s="940">
        <v>0</v>
      </c>
      <c r="H185" s="940">
        <v>0</v>
      </c>
    </row>
    <row r="186" spans="1:8" x14ac:dyDescent="0.25">
      <c r="A186" s="496">
        <f t="shared" si="6"/>
        <v>102</v>
      </c>
      <c r="C186" s="475" t="s">
        <v>190</v>
      </c>
      <c r="D186" s="934" t="s">
        <v>1388</v>
      </c>
      <c r="E186" s="922">
        <v>0</v>
      </c>
      <c r="F186" s="922">
        <v>0</v>
      </c>
      <c r="G186" s="940">
        <v>0</v>
      </c>
      <c r="H186" s="940">
        <v>0</v>
      </c>
    </row>
    <row r="187" spans="1:8" x14ac:dyDescent="0.25">
      <c r="A187" s="496">
        <f t="shared" si="6"/>
        <v>103</v>
      </c>
      <c r="C187" s="475" t="s">
        <v>191</v>
      </c>
      <c r="D187" s="934" t="s">
        <v>1388</v>
      </c>
      <c r="E187" s="922">
        <v>0</v>
      </c>
      <c r="F187" s="922">
        <v>0</v>
      </c>
      <c r="G187" s="940">
        <v>0</v>
      </c>
      <c r="H187" s="940">
        <v>0</v>
      </c>
    </row>
    <row r="188" spans="1:8" x14ac:dyDescent="0.25">
      <c r="A188" s="496">
        <f t="shared" si="6"/>
        <v>104</v>
      </c>
      <c r="C188" s="475" t="s">
        <v>181</v>
      </c>
      <c r="D188" s="934" t="s">
        <v>1388</v>
      </c>
      <c r="E188" s="922">
        <v>0</v>
      </c>
      <c r="F188" s="922">
        <v>0</v>
      </c>
      <c r="G188" s="940">
        <v>0</v>
      </c>
      <c r="H188" s="940">
        <v>0</v>
      </c>
    </row>
    <row r="190" spans="1:8" x14ac:dyDescent="0.25">
      <c r="C190" s="162" t="s">
        <v>2426</v>
      </c>
      <c r="E190" s="76" t="s">
        <v>363</v>
      </c>
      <c r="F190" s="76" t="s">
        <v>347</v>
      </c>
      <c r="G190" s="76" t="s">
        <v>348</v>
      </c>
      <c r="H190" s="76" t="s">
        <v>349</v>
      </c>
    </row>
    <row r="191" spans="1:8" x14ac:dyDescent="0.25">
      <c r="G191" s="452" t="s">
        <v>1667</v>
      </c>
      <c r="H191" s="452" t="s">
        <v>1668</v>
      </c>
    </row>
    <row r="192" spans="1:8" x14ac:dyDescent="0.25">
      <c r="C192" s="496" t="s">
        <v>535</v>
      </c>
      <c r="H192" s="444" t="s">
        <v>1669</v>
      </c>
    </row>
    <row r="193" spans="1:8" x14ac:dyDescent="0.25">
      <c r="C193" s="496" t="s">
        <v>194</v>
      </c>
      <c r="E193" s="496" t="s">
        <v>376</v>
      </c>
      <c r="F193" s="496" t="s">
        <v>1557</v>
      </c>
      <c r="G193" s="496" t="s">
        <v>998</v>
      </c>
      <c r="H193" s="496" t="s">
        <v>1132</v>
      </c>
    </row>
    <row r="194" spans="1:8" x14ac:dyDescent="0.25">
      <c r="C194" s="22" t="s">
        <v>193</v>
      </c>
      <c r="D194" s="22" t="s">
        <v>194</v>
      </c>
      <c r="E194" s="3" t="s">
        <v>1558</v>
      </c>
      <c r="F194" s="3" t="s">
        <v>1086</v>
      </c>
      <c r="G194" s="3" t="s">
        <v>3</v>
      </c>
      <c r="H194" s="3" t="s">
        <v>1553</v>
      </c>
    </row>
    <row r="195" spans="1:8" x14ac:dyDescent="0.25">
      <c r="A195" s="496">
        <f>A188+1</f>
        <v>105</v>
      </c>
      <c r="C195" s="475" t="s">
        <v>181</v>
      </c>
      <c r="D195" s="934" t="s">
        <v>1388</v>
      </c>
      <c r="E195" s="922">
        <v>0</v>
      </c>
      <c r="F195" s="922">
        <v>0</v>
      </c>
      <c r="G195" s="940">
        <v>0</v>
      </c>
      <c r="H195" s="940">
        <v>0</v>
      </c>
    </row>
    <row r="196" spans="1:8" x14ac:dyDescent="0.25">
      <c r="A196" s="496">
        <f>A195+1</f>
        <v>106</v>
      </c>
      <c r="C196" s="475" t="s">
        <v>182</v>
      </c>
      <c r="D196" s="934" t="s">
        <v>1388</v>
      </c>
      <c r="E196" s="922">
        <v>0</v>
      </c>
      <c r="F196" s="922">
        <v>0</v>
      </c>
      <c r="G196" s="940">
        <v>0</v>
      </c>
      <c r="H196" s="940">
        <v>0</v>
      </c>
    </row>
    <row r="197" spans="1:8" x14ac:dyDescent="0.25">
      <c r="A197" s="496">
        <f t="shared" ref="A197:A207" si="7">A196+1</f>
        <v>107</v>
      </c>
      <c r="C197" s="474" t="s">
        <v>183</v>
      </c>
      <c r="D197" s="934" t="s">
        <v>1388</v>
      </c>
      <c r="E197" s="922">
        <v>0</v>
      </c>
      <c r="F197" s="922">
        <v>0</v>
      </c>
      <c r="G197" s="940">
        <v>0</v>
      </c>
      <c r="H197" s="940">
        <v>0</v>
      </c>
    </row>
    <row r="198" spans="1:8" x14ac:dyDescent="0.25">
      <c r="A198" s="496">
        <f t="shared" si="7"/>
        <v>108</v>
      </c>
      <c r="C198" s="474" t="s">
        <v>196</v>
      </c>
      <c r="D198" s="934" t="s">
        <v>1388</v>
      </c>
      <c r="E198" s="922">
        <v>0</v>
      </c>
      <c r="F198" s="922">
        <v>0</v>
      </c>
      <c r="G198" s="940">
        <v>0</v>
      </c>
      <c r="H198" s="940">
        <v>0</v>
      </c>
    </row>
    <row r="199" spans="1:8" x14ac:dyDescent="0.25">
      <c r="A199" s="496">
        <f t="shared" si="7"/>
        <v>109</v>
      </c>
      <c r="C199" s="475" t="s">
        <v>184</v>
      </c>
      <c r="D199" s="934" t="s">
        <v>1388</v>
      </c>
      <c r="E199" s="922">
        <v>0</v>
      </c>
      <c r="F199" s="922">
        <v>0</v>
      </c>
      <c r="G199" s="940">
        <v>0</v>
      </c>
      <c r="H199" s="940">
        <v>0</v>
      </c>
    </row>
    <row r="200" spans="1:8" x14ac:dyDescent="0.25">
      <c r="A200" s="496">
        <f t="shared" si="7"/>
        <v>110</v>
      </c>
      <c r="C200" s="474" t="s">
        <v>185</v>
      </c>
      <c r="D200" s="934" t="s">
        <v>1388</v>
      </c>
      <c r="E200" s="922">
        <v>0</v>
      </c>
      <c r="F200" s="922">
        <v>0</v>
      </c>
      <c r="G200" s="940">
        <v>0</v>
      </c>
      <c r="H200" s="940">
        <v>0</v>
      </c>
    </row>
    <row r="201" spans="1:8" x14ac:dyDescent="0.25">
      <c r="A201" s="496">
        <f t="shared" si="7"/>
        <v>111</v>
      </c>
      <c r="C201" s="474" t="s">
        <v>186</v>
      </c>
      <c r="D201" s="934" t="s">
        <v>1388</v>
      </c>
      <c r="E201" s="922">
        <v>0</v>
      </c>
      <c r="F201" s="922">
        <v>0</v>
      </c>
      <c r="G201" s="940">
        <v>0</v>
      </c>
      <c r="H201" s="940">
        <v>0</v>
      </c>
    </row>
    <row r="202" spans="1:8" x14ac:dyDescent="0.25">
      <c r="A202" s="496">
        <f t="shared" si="7"/>
        <v>112</v>
      </c>
      <c r="C202" s="475" t="s">
        <v>187</v>
      </c>
      <c r="D202" s="934" t="s">
        <v>1388</v>
      </c>
      <c r="E202" s="922">
        <v>0</v>
      </c>
      <c r="F202" s="922">
        <v>0</v>
      </c>
      <c r="G202" s="940">
        <v>0</v>
      </c>
      <c r="H202" s="940">
        <v>0</v>
      </c>
    </row>
    <row r="203" spans="1:8" x14ac:dyDescent="0.25">
      <c r="A203" s="496">
        <f t="shared" si="7"/>
        <v>113</v>
      </c>
      <c r="C203" s="474" t="s">
        <v>188</v>
      </c>
      <c r="D203" s="934" t="s">
        <v>1388</v>
      </c>
      <c r="E203" s="922">
        <v>0</v>
      </c>
      <c r="F203" s="922">
        <v>0</v>
      </c>
      <c r="G203" s="940">
        <v>0</v>
      </c>
      <c r="H203" s="940">
        <v>0</v>
      </c>
    </row>
    <row r="204" spans="1:8" x14ac:dyDescent="0.25">
      <c r="A204" s="496">
        <f t="shared" si="7"/>
        <v>114</v>
      </c>
      <c r="C204" s="474" t="s">
        <v>189</v>
      </c>
      <c r="D204" s="934" t="s">
        <v>1388</v>
      </c>
      <c r="E204" s="922">
        <v>0</v>
      </c>
      <c r="F204" s="922">
        <v>0</v>
      </c>
      <c r="G204" s="940">
        <v>0</v>
      </c>
      <c r="H204" s="940">
        <v>0</v>
      </c>
    </row>
    <row r="205" spans="1:8" x14ac:dyDescent="0.25">
      <c r="A205" s="496">
        <f t="shared" si="7"/>
        <v>115</v>
      </c>
      <c r="C205" s="475" t="s">
        <v>190</v>
      </c>
      <c r="D205" s="934" t="s">
        <v>1388</v>
      </c>
      <c r="E205" s="922">
        <v>0</v>
      </c>
      <c r="F205" s="922">
        <v>0</v>
      </c>
      <c r="G205" s="940">
        <v>0</v>
      </c>
      <c r="H205" s="940">
        <v>0</v>
      </c>
    </row>
    <row r="206" spans="1:8" x14ac:dyDescent="0.25">
      <c r="A206" s="496">
        <f t="shared" si="7"/>
        <v>116</v>
      </c>
      <c r="C206" s="475" t="s">
        <v>191</v>
      </c>
      <c r="D206" s="934" t="s">
        <v>1388</v>
      </c>
      <c r="E206" s="922">
        <v>0</v>
      </c>
      <c r="F206" s="922">
        <v>0</v>
      </c>
      <c r="G206" s="940">
        <v>0</v>
      </c>
      <c r="H206" s="940">
        <v>0</v>
      </c>
    </row>
    <row r="207" spans="1:8" x14ac:dyDescent="0.25">
      <c r="A207" s="496">
        <f t="shared" si="7"/>
        <v>117</v>
      </c>
      <c r="C207" s="475" t="s">
        <v>181</v>
      </c>
      <c r="D207" s="934" t="s">
        <v>1388</v>
      </c>
      <c r="E207" s="922">
        <v>0</v>
      </c>
      <c r="F207" s="922">
        <v>0</v>
      </c>
      <c r="G207" s="940">
        <v>0</v>
      </c>
      <c r="H207" s="940">
        <v>0</v>
      </c>
    </row>
    <row r="209" spans="1:8" x14ac:dyDescent="0.25">
      <c r="C209" s="162" t="s">
        <v>1561</v>
      </c>
      <c r="E209" s="76" t="s">
        <v>363</v>
      </c>
      <c r="F209" s="76" t="s">
        <v>347</v>
      </c>
      <c r="G209" s="76" t="s">
        <v>348</v>
      </c>
      <c r="H209" s="76" t="s">
        <v>349</v>
      </c>
    </row>
    <row r="210" spans="1:8" x14ac:dyDescent="0.25">
      <c r="G210" s="452" t="s">
        <v>1667</v>
      </c>
      <c r="H210" s="452" t="s">
        <v>1668</v>
      </c>
    </row>
    <row r="211" spans="1:8" x14ac:dyDescent="0.25">
      <c r="C211" s="496" t="s">
        <v>535</v>
      </c>
      <c r="H211" s="444" t="s">
        <v>1669</v>
      </c>
    </row>
    <row r="212" spans="1:8" x14ac:dyDescent="0.25">
      <c r="C212" s="496" t="s">
        <v>194</v>
      </c>
      <c r="E212" s="496" t="s">
        <v>376</v>
      </c>
      <c r="F212" s="496" t="s">
        <v>1557</v>
      </c>
      <c r="G212" s="496" t="s">
        <v>998</v>
      </c>
      <c r="H212" s="496" t="s">
        <v>1132</v>
      </c>
    </row>
    <row r="213" spans="1:8" x14ac:dyDescent="0.25">
      <c r="C213" s="22" t="s">
        <v>193</v>
      </c>
      <c r="D213" s="22" t="s">
        <v>194</v>
      </c>
      <c r="E213" s="3" t="s">
        <v>1558</v>
      </c>
      <c r="F213" s="3" t="s">
        <v>1086</v>
      </c>
      <c r="G213" s="3" t="s">
        <v>3</v>
      </c>
      <c r="H213" s="3" t="s">
        <v>1553</v>
      </c>
    </row>
    <row r="214" spans="1:8" x14ac:dyDescent="0.25">
      <c r="A214" s="496">
        <f>A207+1</f>
        <v>118</v>
      </c>
      <c r="C214" s="475" t="s">
        <v>181</v>
      </c>
      <c r="D214" s="934" t="s">
        <v>1388</v>
      </c>
      <c r="E214" s="922">
        <v>0</v>
      </c>
      <c r="F214" s="922">
        <v>0</v>
      </c>
      <c r="G214" s="940">
        <v>0</v>
      </c>
      <c r="H214" s="940">
        <v>0</v>
      </c>
    </row>
    <row r="215" spans="1:8" x14ac:dyDescent="0.25">
      <c r="A215" s="496">
        <f>A214+1</f>
        <v>119</v>
      </c>
      <c r="C215" s="475" t="s">
        <v>182</v>
      </c>
      <c r="D215" s="934" t="s">
        <v>1388</v>
      </c>
      <c r="E215" s="922">
        <v>0</v>
      </c>
      <c r="F215" s="922">
        <v>0</v>
      </c>
      <c r="G215" s="940">
        <v>0</v>
      </c>
      <c r="H215" s="940">
        <v>0</v>
      </c>
    </row>
    <row r="216" spans="1:8" x14ac:dyDescent="0.25">
      <c r="A216" s="496">
        <f t="shared" ref="A216:A226" si="8">A215+1</f>
        <v>120</v>
      </c>
      <c r="C216" s="474" t="s">
        <v>183</v>
      </c>
      <c r="D216" s="934" t="s">
        <v>1388</v>
      </c>
      <c r="E216" s="922">
        <v>0</v>
      </c>
      <c r="F216" s="922">
        <v>0</v>
      </c>
      <c r="G216" s="940">
        <v>0</v>
      </c>
      <c r="H216" s="940">
        <v>0</v>
      </c>
    </row>
    <row r="217" spans="1:8" x14ac:dyDescent="0.25">
      <c r="A217" s="496">
        <f t="shared" si="8"/>
        <v>121</v>
      </c>
      <c r="C217" s="474" t="s">
        <v>196</v>
      </c>
      <c r="D217" s="934" t="s">
        <v>1388</v>
      </c>
      <c r="E217" s="922">
        <v>0</v>
      </c>
      <c r="F217" s="922">
        <v>0</v>
      </c>
      <c r="G217" s="940">
        <v>0</v>
      </c>
      <c r="H217" s="940">
        <v>0</v>
      </c>
    </row>
    <row r="218" spans="1:8" x14ac:dyDescent="0.25">
      <c r="A218" s="496">
        <f t="shared" si="8"/>
        <v>122</v>
      </c>
      <c r="C218" s="475" t="s">
        <v>184</v>
      </c>
      <c r="D218" s="934" t="s">
        <v>1388</v>
      </c>
      <c r="E218" s="922">
        <v>0</v>
      </c>
      <c r="F218" s="922">
        <v>0</v>
      </c>
      <c r="G218" s="940">
        <v>0</v>
      </c>
      <c r="H218" s="940">
        <v>0</v>
      </c>
    </row>
    <row r="219" spans="1:8" x14ac:dyDescent="0.25">
      <c r="A219" s="496">
        <f t="shared" si="8"/>
        <v>123</v>
      </c>
      <c r="C219" s="474" t="s">
        <v>185</v>
      </c>
      <c r="D219" s="934" t="s">
        <v>1388</v>
      </c>
      <c r="E219" s="922">
        <v>0</v>
      </c>
      <c r="F219" s="922">
        <v>0</v>
      </c>
      <c r="G219" s="940">
        <v>0</v>
      </c>
      <c r="H219" s="940">
        <v>0</v>
      </c>
    </row>
    <row r="220" spans="1:8" x14ac:dyDescent="0.25">
      <c r="A220" s="496">
        <f t="shared" si="8"/>
        <v>124</v>
      </c>
      <c r="C220" s="474" t="s">
        <v>186</v>
      </c>
      <c r="D220" s="934" t="s">
        <v>1388</v>
      </c>
      <c r="E220" s="922">
        <v>0</v>
      </c>
      <c r="F220" s="922">
        <v>0</v>
      </c>
      <c r="G220" s="940">
        <v>0</v>
      </c>
      <c r="H220" s="940">
        <v>0</v>
      </c>
    </row>
    <row r="221" spans="1:8" x14ac:dyDescent="0.25">
      <c r="A221" s="496">
        <f t="shared" si="8"/>
        <v>125</v>
      </c>
      <c r="C221" s="475" t="s">
        <v>187</v>
      </c>
      <c r="D221" s="934" t="s">
        <v>1388</v>
      </c>
      <c r="E221" s="922">
        <v>0</v>
      </c>
      <c r="F221" s="922">
        <v>0</v>
      </c>
      <c r="G221" s="940">
        <v>0</v>
      </c>
      <c r="H221" s="940">
        <v>0</v>
      </c>
    </row>
    <row r="222" spans="1:8" x14ac:dyDescent="0.25">
      <c r="A222" s="496">
        <f t="shared" si="8"/>
        <v>126</v>
      </c>
      <c r="C222" s="474" t="s">
        <v>188</v>
      </c>
      <c r="D222" s="934" t="s">
        <v>1388</v>
      </c>
      <c r="E222" s="922">
        <v>0</v>
      </c>
      <c r="F222" s="922">
        <v>0</v>
      </c>
      <c r="G222" s="940">
        <v>0</v>
      </c>
      <c r="H222" s="940">
        <v>0</v>
      </c>
    </row>
    <row r="223" spans="1:8" x14ac:dyDescent="0.25">
      <c r="A223" s="496">
        <f t="shared" si="8"/>
        <v>127</v>
      </c>
      <c r="C223" s="474" t="s">
        <v>189</v>
      </c>
      <c r="D223" s="934" t="s">
        <v>1388</v>
      </c>
      <c r="E223" s="922">
        <v>0</v>
      </c>
      <c r="F223" s="922">
        <v>0</v>
      </c>
      <c r="G223" s="940">
        <v>0</v>
      </c>
      <c r="H223" s="940">
        <v>0</v>
      </c>
    </row>
    <row r="224" spans="1:8" x14ac:dyDescent="0.25">
      <c r="A224" s="496">
        <f t="shared" si="8"/>
        <v>128</v>
      </c>
      <c r="C224" s="475" t="s">
        <v>190</v>
      </c>
      <c r="D224" s="934" t="s">
        <v>1388</v>
      </c>
      <c r="E224" s="922">
        <v>0</v>
      </c>
      <c r="F224" s="922">
        <v>0</v>
      </c>
      <c r="G224" s="940">
        <v>0</v>
      </c>
      <c r="H224" s="940">
        <v>0</v>
      </c>
    </row>
    <row r="225" spans="1:8" x14ac:dyDescent="0.25">
      <c r="A225" s="496">
        <f t="shared" si="8"/>
        <v>129</v>
      </c>
      <c r="C225" s="475" t="s">
        <v>191</v>
      </c>
      <c r="D225" s="934" t="s">
        <v>1388</v>
      </c>
      <c r="E225" s="922">
        <v>0</v>
      </c>
      <c r="F225" s="922">
        <v>0</v>
      </c>
      <c r="G225" s="940">
        <v>0</v>
      </c>
      <c r="H225" s="940">
        <v>0</v>
      </c>
    </row>
    <row r="226" spans="1:8" x14ac:dyDescent="0.25">
      <c r="A226" s="496">
        <f t="shared" si="8"/>
        <v>130</v>
      </c>
      <c r="C226" s="475" t="s">
        <v>181</v>
      </c>
      <c r="D226" s="934" t="s">
        <v>1388</v>
      </c>
      <c r="E226" s="922">
        <v>0</v>
      </c>
      <c r="F226" s="922">
        <v>0</v>
      </c>
      <c r="G226" s="940">
        <v>0</v>
      </c>
      <c r="H226" s="940">
        <v>0</v>
      </c>
    </row>
    <row r="228" spans="1:8" x14ac:dyDescent="0.25">
      <c r="C228" s="162" t="s">
        <v>1599</v>
      </c>
      <c r="H228" s="76" t="s">
        <v>349</v>
      </c>
    </row>
    <row r="229" spans="1:8" x14ac:dyDescent="0.25">
      <c r="E229" s="76" t="s">
        <v>363</v>
      </c>
      <c r="F229" s="76" t="s">
        <v>347</v>
      </c>
      <c r="G229" s="76" t="s">
        <v>348</v>
      </c>
      <c r="H229" s="452" t="s">
        <v>1668</v>
      </c>
    </row>
    <row r="230" spans="1:8" x14ac:dyDescent="0.25">
      <c r="C230" s="496" t="s">
        <v>535</v>
      </c>
      <c r="G230" s="452" t="s">
        <v>1667</v>
      </c>
      <c r="H230" s="444" t="s">
        <v>1669</v>
      </c>
    </row>
    <row r="231" spans="1:8" x14ac:dyDescent="0.25">
      <c r="C231" s="496" t="s">
        <v>194</v>
      </c>
      <c r="E231" s="496" t="s">
        <v>376</v>
      </c>
      <c r="F231" s="496" t="s">
        <v>1557</v>
      </c>
      <c r="G231" s="496" t="s">
        <v>998</v>
      </c>
      <c r="H231" s="496" t="s">
        <v>1132</v>
      </c>
    </row>
    <row r="232" spans="1:8" x14ac:dyDescent="0.25">
      <c r="C232" s="22" t="s">
        <v>193</v>
      </c>
      <c r="D232" s="22" t="s">
        <v>194</v>
      </c>
      <c r="E232" s="3" t="s">
        <v>1558</v>
      </c>
      <c r="F232" s="3" t="s">
        <v>1086</v>
      </c>
      <c r="G232" s="3" t="s">
        <v>3</v>
      </c>
      <c r="H232" s="3" t="s">
        <v>1553</v>
      </c>
    </row>
    <row r="233" spans="1:8" x14ac:dyDescent="0.25">
      <c r="A233" s="496">
        <f>A226+1</f>
        <v>131</v>
      </c>
      <c r="C233" s="475" t="s">
        <v>181</v>
      </c>
      <c r="D233" s="934" t="s">
        <v>1388</v>
      </c>
      <c r="E233" s="922">
        <v>0</v>
      </c>
      <c r="F233" s="922">
        <v>0</v>
      </c>
      <c r="G233" s="940">
        <v>0</v>
      </c>
      <c r="H233" s="940">
        <v>0</v>
      </c>
    </row>
    <row r="234" spans="1:8" x14ac:dyDescent="0.25">
      <c r="A234" s="496">
        <f>A233+1</f>
        <v>132</v>
      </c>
      <c r="C234" s="475" t="s">
        <v>182</v>
      </c>
      <c r="D234" s="934" t="s">
        <v>1388</v>
      </c>
      <c r="E234" s="922">
        <v>0</v>
      </c>
      <c r="F234" s="922">
        <v>0</v>
      </c>
      <c r="G234" s="940">
        <v>0</v>
      </c>
      <c r="H234" s="940">
        <v>0</v>
      </c>
    </row>
    <row r="235" spans="1:8" x14ac:dyDescent="0.25">
      <c r="A235" s="496">
        <f t="shared" ref="A235:A245" si="9">A234+1</f>
        <v>133</v>
      </c>
      <c r="C235" s="474" t="s">
        <v>183</v>
      </c>
      <c r="D235" s="934" t="s">
        <v>1388</v>
      </c>
      <c r="E235" s="922">
        <v>0</v>
      </c>
      <c r="F235" s="922">
        <v>0</v>
      </c>
      <c r="G235" s="940">
        <v>0</v>
      </c>
      <c r="H235" s="940">
        <v>0</v>
      </c>
    </row>
    <row r="236" spans="1:8" x14ac:dyDescent="0.25">
      <c r="A236" s="496">
        <f t="shared" si="9"/>
        <v>134</v>
      </c>
      <c r="C236" s="474" t="s">
        <v>196</v>
      </c>
      <c r="D236" s="934" t="s">
        <v>1388</v>
      </c>
      <c r="E236" s="922">
        <v>0</v>
      </c>
      <c r="F236" s="922">
        <v>0</v>
      </c>
      <c r="G236" s="940">
        <v>0</v>
      </c>
      <c r="H236" s="940">
        <v>0</v>
      </c>
    </row>
    <row r="237" spans="1:8" x14ac:dyDescent="0.25">
      <c r="A237" s="496">
        <f t="shared" si="9"/>
        <v>135</v>
      </c>
      <c r="C237" s="475" t="s">
        <v>184</v>
      </c>
      <c r="D237" s="934" t="s">
        <v>1388</v>
      </c>
      <c r="E237" s="922">
        <v>0</v>
      </c>
      <c r="F237" s="922">
        <v>0</v>
      </c>
      <c r="G237" s="940">
        <v>0</v>
      </c>
      <c r="H237" s="940">
        <v>0</v>
      </c>
    </row>
    <row r="238" spans="1:8" x14ac:dyDescent="0.25">
      <c r="A238" s="496">
        <f t="shared" si="9"/>
        <v>136</v>
      </c>
      <c r="C238" s="474" t="s">
        <v>185</v>
      </c>
      <c r="D238" s="934" t="s">
        <v>1388</v>
      </c>
      <c r="E238" s="922">
        <v>0</v>
      </c>
      <c r="F238" s="922">
        <v>0</v>
      </c>
      <c r="G238" s="940">
        <v>0</v>
      </c>
      <c r="H238" s="940">
        <v>0</v>
      </c>
    </row>
    <row r="239" spans="1:8" x14ac:dyDescent="0.25">
      <c r="A239" s="496">
        <f t="shared" si="9"/>
        <v>137</v>
      </c>
      <c r="C239" s="474" t="s">
        <v>186</v>
      </c>
      <c r="D239" s="934" t="s">
        <v>1388</v>
      </c>
      <c r="E239" s="922">
        <v>0</v>
      </c>
      <c r="F239" s="922">
        <v>0</v>
      </c>
      <c r="G239" s="940">
        <v>0</v>
      </c>
      <c r="H239" s="940">
        <v>0</v>
      </c>
    </row>
    <row r="240" spans="1:8" x14ac:dyDescent="0.25">
      <c r="A240" s="496">
        <f t="shared" si="9"/>
        <v>138</v>
      </c>
      <c r="C240" s="475" t="s">
        <v>187</v>
      </c>
      <c r="D240" s="934" t="s">
        <v>1388</v>
      </c>
      <c r="E240" s="922">
        <v>0</v>
      </c>
      <c r="F240" s="922">
        <v>0</v>
      </c>
      <c r="G240" s="940">
        <v>0</v>
      </c>
      <c r="H240" s="940">
        <v>0</v>
      </c>
    </row>
    <row r="241" spans="1:8" x14ac:dyDescent="0.25">
      <c r="A241" s="496">
        <f t="shared" si="9"/>
        <v>139</v>
      </c>
      <c r="C241" s="474" t="s">
        <v>188</v>
      </c>
      <c r="D241" s="934" t="s">
        <v>1388</v>
      </c>
      <c r="E241" s="922">
        <v>0</v>
      </c>
      <c r="F241" s="922">
        <v>0</v>
      </c>
      <c r="G241" s="940">
        <v>0</v>
      </c>
      <c r="H241" s="940">
        <v>0</v>
      </c>
    </row>
    <row r="242" spans="1:8" x14ac:dyDescent="0.25">
      <c r="A242" s="496">
        <f t="shared" si="9"/>
        <v>140</v>
      </c>
      <c r="C242" s="474" t="s">
        <v>189</v>
      </c>
      <c r="D242" s="934" t="s">
        <v>1388</v>
      </c>
      <c r="E242" s="922">
        <v>0</v>
      </c>
      <c r="F242" s="922">
        <v>0</v>
      </c>
      <c r="G242" s="940">
        <v>0</v>
      </c>
      <c r="H242" s="940">
        <v>0</v>
      </c>
    </row>
    <row r="243" spans="1:8" x14ac:dyDescent="0.25">
      <c r="A243" s="496">
        <f t="shared" si="9"/>
        <v>141</v>
      </c>
      <c r="C243" s="475" t="s">
        <v>190</v>
      </c>
      <c r="D243" s="934" t="s">
        <v>1388</v>
      </c>
      <c r="E243" s="922">
        <v>0</v>
      </c>
      <c r="F243" s="922">
        <v>0</v>
      </c>
      <c r="G243" s="940">
        <v>0</v>
      </c>
      <c r="H243" s="940">
        <v>0</v>
      </c>
    </row>
    <row r="244" spans="1:8" x14ac:dyDescent="0.25">
      <c r="A244" s="496">
        <f t="shared" si="9"/>
        <v>142</v>
      </c>
      <c r="C244" s="475" t="s">
        <v>191</v>
      </c>
      <c r="D244" s="934" t="s">
        <v>1388</v>
      </c>
      <c r="E244" s="922">
        <v>0</v>
      </c>
      <c r="F244" s="922">
        <v>0</v>
      </c>
      <c r="G244" s="940">
        <v>0</v>
      </c>
      <c r="H244" s="940">
        <v>0</v>
      </c>
    </row>
    <row r="245" spans="1:8" x14ac:dyDescent="0.25">
      <c r="A245" s="496">
        <f t="shared" si="9"/>
        <v>143</v>
      </c>
      <c r="C245" s="475" t="s">
        <v>181</v>
      </c>
      <c r="D245" s="934" t="s">
        <v>1388</v>
      </c>
      <c r="E245" s="922">
        <v>0</v>
      </c>
      <c r="F245" s="922">
        <v>0</v>
      </c>
      <c r="G245" s="940">
        <v>0</v>
      </c>
      <c r="H245" s="940">
        <v>0</v>
      </c>
    </row>
    <row r="247" spans="1:8" x14ac:dyDescent="0.25">
      <c r="C247" s="162" t="s">
        <v>1600</v>
      </c>
      <c r="H247" s="76" t="s">
        <v>349</v>
      </c>
    </row>
    <row r="248" spans="1:8" x14ac:dyDescent="0.25">
      <c r="E248" s="76" t="s">
        <v>363</v>
      </c>
      <c r="F248" s="76" t="s">
        <v>347</v>
      </c>
      <c r="G248" s="76" t="s">
        <v>348</v>
      </c>
      <c r="H248" s="452" t="s">
        <v>1668</v>
      </c>
    </row>
    <row r="249" spans="1:8" x14ac:dyDescent="0.25">
      <c r="C249" s="496" t="s">
        <v>535</v>
      </c>
      <c r="G249" s="452" t="s">
        <v>1667</v>
      </c>
      <c r="H249" s="444" t="s">
        <v>1669</v>
      </c>
    </row>
    <row r="250" spans="1:8" x14ac:dyDescent="0.25">
      <c r="C250" s="496" t="s">
        <v>194</v>
      </c>
      <c r="E250" s="496" t="s">
        <v>376</v>
      </c>
      <c r="F250" s="496" t="s">
        <v>1557</v>
      </c>
      <c r="G250" s="496" t="s">
        <v>998</v>
      </c>
      <c r="H250" s="496" t="s">
        <v>1132</v>
      </c>
    </row>
    <row r="251" spans="1:8" x14ac:dyDescent="0.25">
      <c r="C251" s="22" t="s">
        <v>193</v>
      </c>
      <c r="D251" s="22" t="s">
        <v>194</v>
      </c>
      <c r="E251" s="3" t="s">
        <v>1558</v>
      </c>
      <c r="F251" s="3" t="s">
        <v>1086</v>
      </c>
      <c r="G251" s="3" t="s">
        <v>3</v>
      </c>
      <c r="H251" s="3" t="s">
        <v>1553</v>
      </c>
    </row>
    <row r="252" spans="1:8" x14ac:dyDescent="0.25">
      <c r="A252" s="496">
        <f>A245+1</f>
        <v>144</v>
      </c>
      <c r="C252" s="475" t="s">
        <v>181</v>
      </c>
      <c r="D252" s="934" t="s">
        <v>1388</v>
      </c>
      <c r="E252" s="922">
        <v>0</v>
      </c>
      <c r="F252" s="922">
        <v>0</v>
      </c>
      <c r="G252" s="940">
        <v>0</v>
      </c>
      <c r="H252" s="940">
        <v>0</v>
      </c>
    </row>
    <row r="253" spans="1:8" x14ac:dyDescent="0.25">
      <c r="A253" s="496">
        <f>A252+1</f>
        <v>145</v>
      </c>
      <c r="C253" s="475" t="s">
        <v>182</v>
      </c>
      <c r="D253" s="934" t="s">
        <v>1388</v>
      </c>
      <c r="E253" s="922">
        <v>0</v>
      </c>
      <c r="F253" s="922">
        <v>0</v>
      </c>
      <c r="G253" s="940">
        <v>0</v>
      </c>
      <c r="H253" s="940">
        <v>0</v>
      </c>
    </row>
    <row r="254" spans="1:8" x14ac:dyDescent="0.25">
      <c r="A254" s="496">
        <f t="shared" ref="A254:A264" si="10">A253+1</f>
        <v>146</v>
      </c>
      <c r="C254" s="474" t="s">
        <v>183</v>
      </c>
      <c r="D254" s="934" t="s">
        <v>1388</v>
      </c>
      <c r="E254" s="922">
        <v>0</v>
      </c>
      <c r="F254" s="922">
        <v>0</v>
      </c>
      <c r="G254" s="940">
        <v>0</v>
      </c>
      <c r="H254" s="940">
        <v>0</v>
      </c>
    </row>
    <row r="255" spans="1:8" x14ac:dyDescent="0.25">
      <c r="A255" s="496">
        <f t="shared" si="10"/>
        <v>147</v>
      </c>
      <c r="C255" s="474" t="s">
        <v>196</v>
      </c>
      <c r="D255" s="934" t="s">
        <v>1388</v>
      </c>
      <c r="E255" s="922">
        <v>0</v>
      </c>
      <c r="F255" s="922">
        <v>0</v>
      </c>
      <c r="G255" s="940">
        <v>0</v>
      </c>
      <c r="H255" s="940">
        <v>0</v>
      </c>
    </row>
    <row r="256" spans="1:8" x14ac:dyDescent="0.25">
      <c r="A256" s="496">
        <f t="shared" si="10"/>
        <v>148</v>
      </c>
      <c r="C256" s="475" t="s">
        <v>184</v>
      </c>
      <c r="D256" s="934" t="s">
        <v>1388</v>
      </c>
      <c r="E256" s="922">
        <v>0</v>
      </c>
      <c r="F256" s="922">
        <v>0</v>
      </c>
      <c r="G256" s="940">
        <v>0</v>
      </c>
      <c r="H256" s="940">
        <v>0</v>
      </c>
    </row>
    <row r="257" spans="1:8" x14ac:dyDescent="0.25">
      <c r="A257" s="496">
        <f t="shared" si="10"/>
        <v>149</v>
      </c>
      <c r="C257" s="474" t="s">
        <v>185</v>
      </c>
      <c r="D257" s="934" t="s">
        <v>1388</v>
      </c>
      <c r="E257" s="922">
        <v>0</v>
      </c>
      <c r="F257" s="922">
        <v>0</v>
      </c>
      <c r="G257" s="940">
        <v>0</v>
      </c>
      <c r="H257" s="940">
        <v>0</v>
      </c>
    </row>
    <row r="258" spans="1:8" x14ac:dyDescent="0.25">
      <c r="A258" s="496">
        <f t="shared" si="10"/>
        <v>150</v>
      </c>
      <c r="C258" s="474" t="s">
        <v>186</v>
      </c>
      <c r="D258" s="934" t="s">
        <v>1388</v>
      </c>
      <c r="E258" s="922">
        <v>0</v>
      </c>
      <c r="F258" s="922">
        <v>0</v>
      </c>
      <c r="G258" s="940">
        <v>0</v>
      </c>
      <c r="H258" s="940">
        <v>0</v>
      </c>
    </row>
    <row r="259" spans="1:8" x14ac:dyDescent="0.25">
      <c r="A259" s="496">
        <f t="shared" si="10"/>
        <v>151</v>
      </c>
      <c r="C259" s="475" t="s">
        <v>187</v>
      </c>
      <c r="D259" s="934" t="s">
        <v>1388</v>
      </c>
      <c r="E259" s="922">
        <v>0</v>
      </c>
      <c r="F259" s="922">
        <v>0</v>
      </c>
      <c r="G259" s="940">
        <v>0</v>
      </c>
      <c r="H259" s="940">
        <v>0</v>
      </c>
    </row>
    <row r="260" spans="1:8" x14ac:dyDescent="0.25">
      <c r="A260" s="496">
        <f t="shared" si="10"/>
        <v>152</v>
      </c>
      <c r="C260" s="474" t="s">
        <v>188</v>
      </c>
      <c r="D260" s="934" t="s">
        <v>1388</v>
      </c>
      <c r="E260" s="922">
        <v>0</v>
      </c>
      <c r="F260" s="922">
        <v>0</v>
      </c>
      <c r="G260" s="940">
        <v>0</v>
      </c>
      <c r="H260" s="940">
        <v>0</v>
      </c>
    </row>
    <row r="261" spans="1:8" x14ac:dyDescent="0.25">
      <c r="A261" s="496">
        <f t="shared" si="10"/>
        <v>153</v>
      </c>
      <c r="C261" s="474" t="s">
        <v>189</v>
      </c>
      <c r="D261" s="934" t="s">
        <v>1388</v>
      </c>
      <c r="E261" s="922">
        <v>0</v>
      </c>
      <c r="F261" s="922">
        <v>0</v>
      </c>
      <c r="G261" s="940">
        <v>0</v>
      </c>
      <c r="H261" s="940">
        <v>0</v>
      </c>
    </row>
    <row r="262" spans="1:8" x14ac:dyDescent="0.25">
      <c r="A262" s="496">
        <f t="shared" si="10"/>
        <v>154</v>
      </c>
      <c r="C262" s="475" t="s">
        <v>190</v>
      </c>
      <c r="D262" s="934" t="s">
        <v>1388</v>
      </c>
      <c r="E262" s="922">
        <v>0</v>
      </c>
      <c r="F262" s="922">
        <v>0</v>
      </c>
      <c r="G262" s="940">
        <v>0</v>
      </c>
      <c r="H262" s="940">
        <v>0</v>
      </c>
    </row>
    <row r="263" spans="1:8" x14ac:dyDescent="0.25">
      <c r="A263" s="496">
        <f t="shared" si="10"/>
        <v>155</v>
      </c>
      <c r="C263" s="475" t="s">
        <v>191</v>
      </c>
      <c r="D263" s="934" t="s">
        <v>1388</v>
      </c>
      <c r="E263" s="922">
        <v>0</v>
      </c>
      <c r="F263" s="922">
        <v>0</v>
      </c>
      <c r="G263" s="940">
        <v>0</v>
      </c>
      <c r="H263" s="940">
        <v>0</v>
      </c>
    </row>
    <row r="264" spans="1:8" x14ac:dyDescent="0.25">
      <c r="A264" s="496">
        <f t="shared" si="10"/>
        <v>156</v>
      </c>
      <c r="C264" s="475" t="s">
        <v>181</v>
      </c>
      <c r="D264" s="934" t="s">
        <v>1388</v>
      </c>
      <c r="E264" s="922">
        <v>0</v>
      </c>
      <c r="F264" s="922">
        <v>0</v>
      </c>
      <c r="G264" s="940">
        <v>0</v>
      </c>
      <c r="H264" s="940">
        <v>0</v>
      </c>
    </row>
    <row r="266" spans="1:8" x14ac:dyDescent="0.25">
      <c r="C266" s="1079" t="s">
        <v>2427</v>
      </c>
      <c r="E266" s="76" t="s">
        <v>363</v>
      </c>
      <c r="F266" s="76" t="s">
        <v>347</v>
      </c>
      <c r="G266" s="76" t="s">
        <v>348</v>
      </c>
      <c r="H266" s="76" t="s">
        <v>349</v>
      </c>
    </row>
    <row r="267" spans="1:8" x14ac:dyDescent="0.25">
      <c r="G267" s="452" t="s">
        <v>1667</v>
      </c>
      <c r="H267" s="452" t="s">
        <v>1668</v>
      </c>
    </row>
    <row r="268" spans="1:8" x14ac:dyDescent="0.25">
      <c r="C268" s="496" t="s">
        <v>535</v>
      </c>
      <c r="H268" s="444" t="s">
        <v>1669</v>
      </c>
    </row>
    <row r="269" spans="1:8" x14ac:dyDescent="0.25">
      <c r="C269" s="496" t="s">
        <v>194</v>
      </c>
      <c r="E269" s="496" t="s">
        <v>376</v>
      </c>
      <c r="F269" s="496" t="s">
        <v>1557</v>
      </c>
      <c r="G269" s="496" t="s">
        <v>998</v>
      </c>
      <c r="H269" s="496" t="s">
        <v>1132</v>
      </c>
    </row>
    <row r="270" spans="1:8" x14ac:dyDescent="0.25">
      <c r="C270" s="22" t="s">
        <v>193</v>
      </c>
      <c r="D270" s="22" t="s">
        <v>194</v>
      </c>
      <c r="E270" s="3" t="s">
        <v>1558</v>
      </c>
      <c r="F270" s="3" t="s">
        <v>1086</v>
      </c>
      <c r="G270" s="3" t="s">
        <v>3</v>
      </c>
      <c r="H270" s="3" t="s">
        <v>1553</v>
      </c>
    </row>
    <row r="271" spans="1:8" x14ac:dyDescent="0.25">
      <c r="A271" s="496">
        <f>A264+1</f>
        <v>157</v>
      </c>
      <c r="C271" s="475" t="s">
        <v>181</v>
      </c>
      <c r="D271" s="934" t="s">
        <v>1388</v>
      </c>
      <c r="E271" s="922">
        <v>0</v>
      </c>
      <c r="F271" s="922">
        <v>0</v>
      </c>
      <c r="G271" s="940">
        <v>0</v>
      </c>
      <c r="H271" s="940">
        <v>0</v>
      </c>
    </row>
    <row r="272" spans="1:8" x14ac:dyDescent="0.25">
      <c r="A272" s="496">
        <f>A271+1</f>
        <v>158</v>
      </c>
      <c r="C272" s="475" t="s">
        <v>182</v>
      </c>
      <c r="D272" s="934" t="s">
        <v>1388</v>
      </c>
      <c r="E272" s="922">
        <v>0</v>
      </c>
      <c r="F272" s="922">
        <v>0</v>
      </c>
      <c r="G272" s="940">
        <v>0</v>
      </c>
      <c r="H272" s="940">
        <v>0</v>
      </c>
    </row>
    <row r="273" spans="1:8" x14ac:dyDescent="0.25">
      <c r="A273" s="496">
        <f t="shared" ref="A273:A283" si="11">A272+1</f>
        <v>159</v>
      </c>
      <c r="C273" s="474" t="s">
        <v>183</v>
      </c>
      <c r="D273" s="934" t="s">
        <v>1388</v>
      </c>
      <c r="E273" s="922">
        <v>0</v>
      </c>
      <c r="F273" s="922">
        <v>0</v>
      </c>
      <c r="G273" s="940">
        <v>0</v>
      </c>
      <c r="H273" s="940">
        <v>0</v>
      </c>
    </row>
    <row r="274" spans="1:8" x14ac:dyDescent="0.25">
      <c r="A274" s="496">
        <f t="shared" si="11"/>
        <v>160</v>
      </c>
      <c r="C274" s="474" t="s">
        <v>196</v>
      </c>
      <c r="D274" s="934" t="s">
        <v>1388</v>
      </c>
      <c r="E274" s="922">
        <v>0</v>
      </c>
      <c r="F274" s="922">
        <v>0</v>
      </c>
      <c r="G274" s="940">
        <v>0</v>
      </c>
      <c r="H274" s="940">
        <v>0</v>
      </c>
    </row>
    <row r="275" spans="1:8" x14ac:dyDescent="0.25">
      <c r="A275" s="496">
        <f t="shared" si="11"/>
        <v>161</v>
      </c>
      <c r="C275" s="475" t="s">
        <v>184</v>
      </c>
      <c r="D275" s="934" t="s">
        <v>1388</v>
      </c>
      <c r="E275" s="922">
        <v>0</v>
      </c>
      <c r="F275" s="922">
        <v>0</v>
      </c>
      <c r="G275" s="940">
        <v>0</v>
      </c>
      <c r="H275" s="940">
        <v>0</v>
      </c>
    </row>
    <row r="276" spans="1:8" x14ac:dyDescent="0.25">
      <c r="A276" s="496">
        <f t="shared" si="11"/>
        <v>162</v>
      </c>
      <c r="C276" s="474" t="s">
        <v>185</v>
      </c>
      <c r="D276" s="934" t="s">
        <v>1388</v>
      </c>
      <c r="E276" s="922">
        <v>0</v>
      </c>
      <c r="F276" s="922">
        <v>0</v>
      </c>
      <c r="G276" s="940">
        <v>0</v>
      </c>
      <c r="H276" s="940">
        <v>0</v>
      </c>
    </row>
    <row r="277" spans="1:8" x14ac:dyDescent="0.25">
      <c r="A277" s="496">
        <f t="shared" si="11"/>
        <v>163</v>
      </c>
      <c r="C277" s="474" t="s">
        <v>186</v>
      </c>
      <c r="D277" s="934" t="s">
        <v>1388</v>
      </c>
      <c r="E277" s="922">
        <v>0</v>
      </c>
      <c r="F277" s="922">
        <v>0</v>
      </c>
      <c r="G277" s="940">
        <v>0</v>
      </c>
      <c r="H277" s="940">
        <v>0</v>
      </c>
    </row>
    <row r="278" spans="1:8" x14ac:dyDescent="0.25">
      <c r="A278" s="496">
        <f t="shared" si="11"/>
        <v>164</v>
      </c>
      <c r="C278" s="475" t="s">
        <v>187</v>
      </c>
      <c r="D278" s="934" t="s">
        <v>1388</v>
      </c>
      <c r="E278" s="922">
        <v>0</v>
      </c>
      <c r="F278" s="922">
        <v>0</v>
      </c>
      <c r="G278" s="940">
        <v>0</v>
      </c>
      <c r="H278" s="940">
        <v>0</v>
      </c>
    </row>
    <row r="279" spans="1:8" x14ac:dyDescent="0.25">
      <c r="A279" s="496">
        <f t="shared" si="11"/>
        <v>165</v>
      </c>
      <c r="C279" s="474" t="s">
        <v>188</v>
      </c>
      <c r="D279" s="934" t="s">
        <v>1388</v>
      </c>
      <c r="E279" s="922">
        <v>0</v>
      </c>
      <c r="F279" s="922">
        <v>0</v>
      </c>
      <c r="G279" s="940">
        <v>0</v>
      </c>
      <c r="H279" s="940">
        <v>0</v>
      </c>
    </row>
    <row r="280" spans="1:8" x14ac:dyDescent="0.25">
      <c r="A280" s="496">
        <f t="shared" si="11"/>
        <v>166</v>
      </c>
      <c r="C280" s="474" t="s">
        <v>189</v>
      </c>
      <c r="D280" s="934" t="s">
        <v>1388</v>
      </c>
      <c r="E280" s="922">
        <v>0</v>
      </c>
      <c r="F280" s="922">
        <v>0</v>
      </c>
      <c r="G280" s="940">
        <v>0</v>
      </c>
      <c r="H280" s="940">
        <v>0</v>
      </c>
    </row>
    <row r="281" spans="1:8" x14ac:dyDescent="0.25">
      <c r="A281" s="496">
        <f t="shared" si="11"/>
        <v>167</v>
      </c>
      <c r="C281" s="475" t="s">
        <v>190</v>
      </c>
      <c r="D281" s="934" t="s">
        <v>1388</v>
      </c>
      <c r="E281" s="922">
        <v>0</v>
      </c>
      <c r="F281" s="922">
        <v>0</v>
      </c>
      <c r="G281" s="940">
        <v>0</v>
      </c>
      <c r="H281" s="940">
        <v>0</v>
      </c>
    </row>
    <row r="282" spans="1:8" x14ac:dyDescent="0.25">
      <c r="A282" s="496">
        <f t="shared" si="11"/>
        <v>168</v>
      </c>
      <c r="C282" s="475" t="s">
        <v>191</v>
      </c>
      <c r="D282" s="934" t="s">
        <v>1388</v>
      </c>
      <c r="E282" s="922">
        <v>0</v>
      </c>
      <c r="F282" s="922">
        <v>0</v>
      </c>
      <c r="G282" s="940">
        <v>0</v>
      </c>
      <c r="H282" s="940">
        <v>0</v>
      </c>
    </row>
    <row r="283" spans="1:8" x14ac:dyDescent="0.25">
      <c r="A283" s="496">
        <f t="shared" si="11"/>
        <v>169</v>
      </c>
      <c r="C283" s="475" t="s">
        <v>181</v>
      </c>
      <c r="D283" s="934" t="s">
        <v>1388</v>
      </c>
      <c r="E283" s="922">
        <v>0</v>
      </c>
      <c r="F283" s="922">
        <v>0</v>
      </c>
      <c r="G283" s="940">
        <v>0</v>
      </c>
      <c r="H283" s="940">
        <v>0</v>
      </c>
    </row>
    <row r="285" spans="1:8" x14ac:dyDescent="0.25">
      <c r="C285" s="1079" t="s">
        <v>2428</v>
      </c>
      <c r="E285" s="76" t="s">
        <v>363</v>
      </c>
      <c r="F285" s="76" t="s">
        <v>347</v>
      </c>
      <c r="G285" s="76" t="s">
        <v>348</v>
      </c>
      <c r="H285" s="76" t="s">
        <v>349</v>
      </c>
    </row>
    <row r="286" spans="1:8" x14ac:dyDescent="0.25">
      <c r="G286" s="452" t="s">
        <v>1667</v>
      </c>
      <c r="H286" s="452" t="s">
        <v>1668</v>
      </c>
    </row>
    <row r="287" spans="1:8" x14ac:dyDescent="0.25">
      <c r="C287" s="496" t="s">
        <v>535</v>
      </c>
      <c r="H287" s="444" t="s">
        <v>1669</v>
      </c>
    </row>
    <row r="288" spans="1:8" x14ac:dyDescent="0.25">
      <c r="C288" s="496" t="s">
        <v>194</v>
      </c>
      <c r="E288" s="496" t="s">
        <v>376</v>
      </c>
      <c r="F288" s="496" t="s">
        <v>1557</v>
      </c>
      <c r="G288" s="496" t="s">
        <v>998</v>
      </c>
      <c r="H288" s="496" t="s">
        <v>1132</v>
      </c>
    </row>
    <row r="289" spans="1:8" x14ac:dyDescent="0.25">
      <c r="C289" s="22" t="s">
        <v>193</v>
      </c>
      <c r="D289" s="22" t="s">
        <v>194</v>
      </c>
      <c r="E289" s="3" t="s">
        <v>1558</v>
      </c>
      <c r="F289" s="3" t="s">
        <v>1086</v>
      </c>
      <c r="G289" s="3" t="s">
        <v>3</v>
      </c>
      <c r="H289" s="3" t="s">
        <v>1553</v>
      </c>
    </row>
    <row r="290" spans="1:8" x14ac:dyDescent="0.25">
      <c r="A290" s="496">
        <f>A283+1</f>
        <v>170</v>
      </c>
      <c r="C290" s="475" t="s">
        <v>181</v>
      </c>
      <c r="D290" s="934" t="s">
        <v>1388</v>
      </c>
      <c r="E290" s="922">
        <v>0</v>
      </c>
      <c r="F290" s="922">
        <v>0</v>
      </c>
      <c r="G290" s="940">
        <v>0</v>
      </c>
      <c r="H290" s="940">
        <v>0</v>
      </c>
    </row>
    <row r="291" spans="1:8" x14ac:dyDescent="0.25">
      <c r="A291" s="496">
        <f>A290+1</f>
        <v>171</v>
      </c>
      <c r="C291" s="475" t="s">
        <v>182</v>
      </c>
      <c r="D291" s="934" t="s">
        <v>1388</v>
      </c>
      <c r="E291" s="922">
        <v>0</v>
      </c>
      <c r="F291" s="922">
        <v>0</v>
      </c>
      <c r="G291" s="940">
        <v>0</v>
      </c>
      <c r="H291" s="940">
        <v>0</v>
      </c>
    </row>
    <row r="292" spans="1:8" x14ac:dyDescent="0.25">
      <c r="A292" s="496">
        <f t="shared" ref="A292:A302" si="12">A291+1</f>
        <v>172</v>
      </c>
      <c r="C292" s="474" t="s">
        <v>183</v>
      </c>
      <c r="D292" s="934" t="s">
        <v>1388</v>
      </c>
      <c r="E292" s="922">
        <v>0</v>
      </c>
      <c r="F292" s="922">
        <v>0</v>
      </c>
      <c r="G292" s="940">
        <v>0</v>
      </c>
      <c r="H292" s="940">
        <v>0</v>
      </c>
    </row>
    <row r="293" spans="1:8" x14ac:dyDescent="0.25">
      <c r="A293" s="496">
        <f t="shared" si="12"/>
        <v>173</v>
      </c>
      <c r="C293" s="474" t="s">
        <v>196</v>
      </c>
      <c r="D293" s="934" t="s">
        <v>1388</v>
      </c>
      <c r="E293" s="922">
        <v>0</v>
      </c>
      <c r="F293" s="922">
        <v>0</v>
      </c>
      <c r="G293" s="940">
        <v>0</v>
      </c>
      <c r="H293" s="940">
        <v>0</v>
      </c>
    </row>
    <row r="294" spans="1:8" x14ac:dyDescent="0.25">
      <c r="A294" s="496">
        <f t="shared" si="12"/>
        <v>174</v>
      </c>
      <c r="C294" s="475" t="s">
        <v>184</v>
      </c>
      <c r="D294" s="934" t="s">
        <v>1388</v>
      </c>
      <c r="E294" s="922">
        <v>0</v>
      </c>
      <c r="F294" s="922">
        <v>0</v>
      </c>
      <c r="G294" s="940">
        <v>0</v>
      </c>
      <c r="H294" s="940">
        <v>0</v>
      </c>
    </row>
    <row r="295" spans="1:8" x14ac:dyDescent="0.25">
      <c r="A295" s="496">
        <f t="shared" si="12"/>
        <v>175</v>
      </c>
      <c r="C295" s="474" t="s">
        <v>185</v>
      </c>
      <c r="D295" s="934" t="s">
        <v>1388</v>
      </c>
      <c r="E295" s="922">
        <v>0</v>
      </c>
      <c r="F295" s="922">
        <v>0</v>
      </c>
      <c r="G295" s="940">
        <v>0</v>
      </c>
      <c r="H295" s="940">
        <v>0</v>
      </c>
    </row>
    <row r="296" spans="1:8" x14ac:dyDescent="0.25">
      <c r="A296" s="496">
        <f t="shared" si="12"/>
        <v>176</v>
      </c>
      <c r="C296" s="474" t="s">
        <v>186</v>
      </c>
      <c r="D296" s="934" t="s">
        <v>1388</v>
      </c>
      <c r="E296" s="922">
        <v>0</v>
      </c>
      <c r="F296" s="922">
        <v>0</v>
      </c>
      <c r="G296" s="940">
        <v>0</v>
      </c>
      <c r="H296" s="940">
        <v>0</v>
      </c>
    </row>
    <row r="297" spans="1:8" x14ac:dyDescent="0.25">
      <c r="A297" s="496">
        <f t="shared" si="12"/>
        <v>177</v>
      </c>
      <c r="C297" s="475" t="s">
        <v>187</v>
      </c>
      <c r="D297" s="934" t="s">
        <v>1388</v>
      </c>
      <c r="E297" s="922">
        <v>0</v>
      </c>
      <c r="F297" s="922">
        <v>0</v>
      </c>
      <c r="G297" s="940">
        <v>0</v>
      </c>
      <c r="H297" s="940">
        <v>0</v>
      </c>
    </row>
    <row r="298" spans="1:8" x14ac:dyDescent="0.25">
      <c r="A298" s="496">
        <f t="shared" si="12"/>
        <v>178</v>
      </c>
      <c r="C298" s="474" t="s">
        <v>188</v>
      </c>
      <c r="D298" s="934" t="s">
        <v>1388</v>
      </c>
      <c r="E298" s="922">
        <v>0</v>
      </c>
      <c r="F298" s="922">
        <v>0</v>
      </c>
      <c r="G298" s="940">
        <v>0</v>
      </c>
      <c r="H298" s="940">
        <v>0</v>
      </c>
    </row>
    <row r="299" spans="1:8" x14ac:dyDescent="0.25">
      <c r="A299" s="496">
        <f t="shared" si="12"/>
        <v>179</v>
      </c>
      <c r="C299" s="474" t="s">
        <v>189</v>
      </c>
      <c r="D299" s="934" t="s">
        <v>1388</v>
      </c>
      <c r="E299" s="922">
        <v>0</v>
      </c>
      <c r="F299" s="922">
        <v>0</v>
      </c>
      <c r="G299" s="940">
        <v>0</v>
      </c>
      <c r="H299" s="940">
        <v>0</v>
      </c>
    </row>
    <row r="300" spans="1:8" x14ac:dyDescent="0.25">
      <c r="A300" s="496">
        <f t="shared" si="12"/>
        <v>180</v>
      </c>
      <c r="C300" s="475" t="s">
        <v>190</v>
      </c>
      <c r="D300" s="934" t="s">
        <v>1388</v>
      </c>
      <c r="E300" s="922">
        <v>0</v>
      </c>
      <c r="F300" s="922">
        <v>0</v>
      </c>
      <c r="G300" s="940">
        <v>0</v>
      </c>
      <c r="H300" s="940">
        <v>0</v>
      </c>
    </row>
    <row r="301" spans="1:8" x14ac:dyDescent="0.25">
      <c r="A301" s="496">
        <f t="shared" si="12"/>
        <v>181</v>
      </c>
      <c r="C301" s="475" t="s">
        <v>191</v>
      </c>
      <c r="D301" s="934" t="s">
        <v>1388</v>
      </c>
      <c r="E301" s="922">
        <v>0</v>
      </c>
      <c r="F301" s="922">
        <v>0</v>
      </c>
      <c r="G301" s="940">
        <v>0</v>
      </c>
      <c r="H301" s="940">
        <v>0</v>
      </c>
    </row>
    <row r="302" spans="1:8" x14ac:dyDescent="0.25">
      <c r="A302" s="496">
        <f t="shared" si="12"/>
        <v>182</v>
      </c>
      <c r="C302" s="475" t="s">
        <v>181</v>
      </c>
      <c r="D302" s="934" t="s">
        <v>1388</v>
      </c>
      <c r="E302" s="922">
        <v>0</v>
      </c>
      <c r="F302" s="922">
        <v>0</v>
      </c>
      <c r="G302" s="940">
        <v>0</v>
      </c>
      <c r="H302" s="940">
        <v>0</v>
      </c>
    </row>
    <row r="304" spans="1:8" x14ac:dyDescent="0.25">
      <c r="B304" s="1"/>
      <c r="C304" s="1" t="s">
        <v>1562</v>
      </c>
      <c r="D304" s="441"/>
      <c r="E304" s="6"/>
    </row>
    <row r="305" spans="1:10" x14ac:dyDescent="0.25">
      <c r="B305" s="1"/>
    </row>
    <row r="306" spans="1:10" x14ac:dyDescent="0.25">
      <c r="C306" s="359" t="s">
        <v>1108</v>
      </c>
      <c r="D306" s="86"/>
      <c r="E306" s="86"/>
      <c r="F306" s="86"/>
      <c r="G306" s="161" t="s">
        <v>1110</v>
      </c>
      <c r="H306" s="86"/>
      <c r="I306" s="86"/>
      <c r="J306" s="86"/>
    </row>
    <row r="307" spans="1:10" x14ac:dyDescent="0.25">
      <c r="A307" s="496">
        <f>A302+1</f>
        <v>183</v>
      </c>
      <c r="C307" s="501" t="s">
        <v>222</v>
      </c>
      <c r="D307" s="86"/>
      <c r="E307" s="360"/>
      <c r="F307" s="513" t="s">
        <v>1388</v>
      </c>
      <c r="G307" s="513" t="s">
        <v>1388</v>
      </c>
      <c r="H307" s="86"/>
      <c r="I307" s="86"/>
      <c r="J307" s="86"/>
    </row>
    <row r="308" spans="1:10" x14ac:dyDescent="0.25">
      <c r="A308" s="496">
        <f>A307+1</f>
        <v>184</v>
      </c>
      <c r="C308" s="351" t="s">
        <v>224</v>
      </c>
      <c r="D308" s="86"/>
      <c r="E308" s="361"/>
      <c r="F308" s="968" t="s">
        <v>2193</v>
      </c>
      <c r="G308" s="513" t="s">
        <v>1388</v>
      </c>
      <c r="H308" s="86"/>
      <c r="I308" s="86"/>
      <c r="J308" s="86"/>
    </row>
    <row r="309" spans="1:10" x14ac:dyDescent="0.25">
      <c r="A309" s="496">
        <f>A308+1</f>
        <v>185</v>
      </c>
      <c r="C309" s="351" t="s">
        <v>1107</v>
      </c>
      <c r="D309" s="86"/>
      <c r="E309" s="360"/>
      <c r="F309" s="513" t="s">
        <v>1388</v>
      </c>
      <c r="G309" s="513" t="s">
        <v>1388</v>
      </c>
      <c r="H309" s="86"/>
      <c r="I309" s="86"/>
      <c r="J309" s="86"/>
    </row>
    <row r="310" spans="1:10" x14ac:dyDescent="0.25">
      <c r="C310" s="86"/>
      <c r="D310" s="86"/>
      <c r="E310" s="360"/>
      <c r="F310" s="354"/>
      <c r="G310" s="86"/>
      <c r="H310" s="86"/>
      <c r="I310" s="86"/>
      <c r="J310" s="86"/>
    </row>
    <row r="311" spans="1:10" x14ac:dyDescent="0.25">
      <c r="C311" s="359" t="s">
        <v>1109</v>
      </c>
      <c r="D311" s="86"/>
      <c r="E311" s="86"/>
      <c r="F311" s="354"/>
      <c r="G311" s="161" t="s">
        <v>1110</v>
      </c>
      <c r="H311" s="86"/>
      <c r="I311" s="86"/>
      <c r="J311" s="86"/>
    </row>
    <row r="312" spans="1:10" x14ac:dyDescent="0.25">
      <c r="A312" s="496">
        <f>A309+1</f>
        <v>186</v>
      </c>
      <c r="C312" s="501" t="s">
        <v>222</v>
      </c>
      <c r="D312" s="86"/>
      <c r="E312" s="360"/>
      <c r="F312" s="513" t="s">
        <v>1388</v>
      </c>
      <c r="G312" s="513" t="s">
        <v>1388</v>
      </c>
      <c r="H312" s="86"/>
      <c r="I312" s="86"/>
      <c r="J312" s="86"/>
    </row>
    <row r="313" spans="1:10" x14ac:dyDescent="0.25">
      <c r="A313" s="496">
        <f>A312+1</f>
        <v>187</v>
      </c>
      <c r="C313" s="351" t="s">
        <v>224</v>
      </c>
      <c r="D313" s="86"/>
      <c r="E313" s="361"/>
      <c r="F313" s="968" t="s">
        <v>2193</v>
      </c>
      <c r="G313" s="513" t="s">
        <v>1388</v>
      </c>
      <c r="H313" s="86"/>
      <c r="I313" s="86"/>
      <c r="J313" s="86"/>
    </row>
    <row r="314" spans="1:10" x14ac:dyDescent="0.25">
      <c r="A314" s="496">
        <f>A313+1</f>
        <v>188</v>
      </c>
      <c r="C314" s="351" t="s">
        <v>1107</v>
      </c>
      <c r="D314" s="86"/>
      <c r="E314" s="360"/>
      <c r="F314" s="513" t="s">
        <v>1388</v>
      </c>
      <c r="G314" s="513" t="s">
        <v>1388</v>
      </c>
      <c r="H314" s="86"/>
      <c r="I314" s="86"/>
      <c r="J314" s="86"/>
    </row>
    <row r="315" spans="1:10" x14ac:dyDescent="0.25">
      <c r="C315" s="351"/>
      <c r="D315" s="86"/>
      <c r="E315" s="360"/>
      <c r="F315" s="352"/>
      <c r="G315" s="86"/>
      <c r="H315" s="86"/>
      <c r="I315" s="86"/>
      <c r="J315" s="86"/>
    </row>
    <row r="316" spans="1:10" x14ac:dyDescent="0.25">
      <c r="C316" s="359" t="s">
        <v>1111</v>
      </c>
      <c r="D316" s="86"/>
      <c r="E316" s="453"/>
      <c r="F316" s="502"/>
      <c r="G316" s="161" t="s">
        <v>1110</v>
      </c>
      <c r="H316" s="86"/>
      <c r="I316" s="86"/>
      <c r="J316" s="86"/>
    </row>
    <row r="317" spans="1:10" x14ac:dyDescent="0.25">
      <c r="A317" s="496">
        <f>A314+1</f>
        <v>189</v>
      </c>
      <c r="C317" s="501" t="s">
        <v>222</v>
      </c>
      <c r="D317" s="86"/>
      <c r="E317" s="360"/>
      <c r="F317" s="513" t="s">
        <v>1388</v>
      </c>
      <c r="G317" s="513" t="s">
        <v>1388</v>
      </c>
      <c r="H317" s="86"/>
      <c r="I317" s="86"/>
      <c r="J317" s="86"/>
    </row>
    <row r="318" spans="1:10" x14ac:dyDescent="0.25">
      <c r="A318" s="496">
        <f>A317+1</f>
        <v>190</v>
      </c>
      <c r="C318" s="351" t="s">
        <v>224</v>
      </c>
      <c r="D318" s="86"/>
      <c r="E318" s="361"/>
      <c r="F318" s="968" t="s">
        <v>2193</v>
      </c>
      <c r="G318" s="513" t="s">
        <v>1388</v>
      </c>
      <c r="H318" s="86"/>
      <c r="I318" s="86"/>
      <c r="J318" s="86"/>
    </row>
    <row r="319" spans="1:10" x14ac:dyDescent="0.25">
      <c r="A319" s="496">
        <f>A318+1</f>
        <v>191</v>
      </c>
      <c r="C319" s="351"/>
      <c r="D319" s="86"/>
      <c r="E319" s="361"/>
      <c r="F319" s="513"/>
      <c r="G319" s="513"/>
      <c r="H319" s="86"/>
      <c r="I319" s="86"/>
      <c r="J319" s="86"/>
    </row>
    <row r="320" spans="1:10" x14ac:dyDescent="0.25">
      <c r="A320" s="496">
        <f>A319+1</f>
        <v>192</v>
      </c>
      <c r="C320" s="351" t="s">
        <v>1107</v>
      </c>
      <c r="D320" s="86"/>
      <c r="E320" s="360"/>
      <c r="F320" s="513" t="s">
        <v>1388</v>
      </c>
      <c r="G320" s="513" t="s">
        <v>1388</v>
      </c>
      <c r="H320" s="86"/>
      <c r="I320" s="86"/>
      <c r="J320" s="86"/>
    </row>
    <row r="321" spans="1:10" x14ac:dyDescent="0.25">
      <c r="C321" s="351"/>
      <c r="D321" s="86"/>
      <c r="E321" s="360"/>
      <c r="F321" s="352"/>
      <c r="G321" s="86"/>
      <c r="H321" s="86"/>
      <c r="I321" s="86"/>
      <c r="J321" s="86"/>
    </row>
    <row r="322" spans="1:10" x14ac:dyDescent="0.25">
      <c r="C322" s="359" t="s">
        <v>1112</v>
      </c>
      <c r="D322" s="86"/>
      <c r="E322" s="453"/>
      <c r="F322" s="502"/>
      <c r="G322" s="161" t="s">
        <v>1110</v>
      </c>
      <c r="H322" s="86"/>
      <c r="I322" s="86"/>
      <c r="J322" s="86"/>
    </row>
    <row r="323" spans="1:10" x14ac:dyDescent="0.25">
      <c r="A323" s="496">
        <f>A320+1</f>
        <v>193</v>
      </c>
      <c r="C323" s="501" t="s">
        <v>222</v>
      </c>
      <c r="D323" s="86"/>
      <c r="E323" s="360"/>
      <c r="F323" s="513" t="s">
        <v>1388</v>
      </c>
      <c r="G323" s="513" t="s">
        <v>1388</v>
      </c>
      <c r="H323" s="86"/>
      <c r="I323" s="86"/>
      <c r="J323" s="86"/>
    </row>
    <row r="324" spans="1:10" x14ac:dyDescent="0.25">
      <c r="A324" s="496">
        <f>A323+1</f>
        <v>194</v>
      </c>
      <c r="C324" s="501"/>
      <c r="D324" s="86"/>
      <c r="E324" s="360"/>
      <c r="F324" s="513"/>
      <c r="G324" s="513"/>
      <c r="H324" s="86"/>
      <c r="I324" s="86"/>
      <c r="J324" s="86"/>
    </row>
    <row r="325" spans="1:10" x14ac:dyDescent="0.25">
      <c r="A325" s="496">
        <f>A324+1</f>
        <v>195</v>
      </c>
      <c r="C325" s="351" t="s">
        <v>224</v>
      </c>
      <c r="D325" s="86"/>
      <c r="E325" s="361"/>
      <c r="F325" s="968" t="s">
        <v>2193</v>
      </c>
      <c r="G325" s="513" t="s">
        <v>1388</v>
      </c>
      <c r="H325" s="86"/>
      <c r="I325" s="86"/>
      <c r="J325" s="86"/>
    </row>
    <row r="326" spans="1:10" x14ac:dyDescent="0.25">
      <c r="A326" s="496">
        <f>A325+1</f>
        <v>196</v>
      </c>
      <c r="C326" s="351"/>
      <c r="D326" s="86"/>
      <c r="E326" s="361"/>
      <c r="F326" s="353"/>
      <c r="G326" s="453"/>
      <c r="H326" s="86"/>
      <c r="I326" s="86"/>
      <c r="J326" s="86"/>
    </row>
    <row r="327" spans="1:10" x14ac:dyDescent="0.25">
      <c r="A327" s="496">
        <f>A326+1</f>
        <v>197</v>
      </c>
      <c r="C327" s="351" t="s">
        <v>1107</v>
      </c>
      <c r="D327" s="86"/>
      <c r="E327" s="360"/>
      <c r="F327" s="513" t="s">
        <v>1388</v>
      </c>
      <c r="G327" s="513" t="s">
        <v>1388</v>
      </c>
      <c r="H327" s="86"/>
      <c r="I327" s="86"/>
      <c r="J327" s="86"/>
    </row>
    <row r="328" spans="1:10" x14ac:dyDescent="0.25">
      <c r="C328" s="351"/>
      <c r="D328" s="86"/>
      <c r="E328" s="360"/>
      <c r="F328" s="352"/>
      <c r="G328" s="86"/>
      <c r="H328" s="86"/>
      <c r="I328" s="86"/>
      <c r="J328" s="86"/>
    </row>
    <row r="329" spans="1:10" x14ac:dyDescent="0.25">
      <c r="C329" s="359" t="s">
        <v>2429</v>
      </c>
      <c r="D329" s="86"/>
      <c r="E329" s="86"/>
      <c r="F329" s="352"/>
      <c r="G329" s="161" t="s">
        <v>1110</v>
      </c>
      <c r="H329" s="86"/>
      <c r="I329" s="86"/>
      <c r="J329" s="86"/>
    </row>
    <row r="330" spans="1:10" x14ac:dyDescent="0.25">
      <c r="A330" s="496">
        <f>A327+1</f>
        <v>198</v>
      </c>
      <c r="C330" s="501" t="s">
        <v>222</v>
      </c>
      <c r="D330" s="86"/>
      <c r="E330" s="360"/>
      <c r="F330" s="513" t="s">
        <v>1388</v>
      </c>
      <c r="G330" s="513" t="s">
        <v>1388</v>
      </c>
      <c r="H330" s="86"/>
      <c r="I330" s="86"/>
      <c r="J330" s="86"/>
    </row>
    <row r="331" spans="1:10" x14ac:dyDescent="0.25">
      <c r="A331" s="496">
        <f>A330+1</f>
        <v>199</v>
      </c>
      <c r="C331" s="351" t="s">
        <v>224</v>
      </c>
      <c r="D331" s="86"/>
      <c r="E331" s="361"/>
      <c r="F331" s="968" t="s">
        <v>2193</v>
      </c>
      <c r="G331" s="513" t="s">
        <v>1388</v>
      </c>
      <c r="H331" s="86"/>
      <c r="I331" s="86"/>
      <c r="J331" s="86"/>
    </row>
    <row r="332" spans="1:10" x14ac:dyDescent="0.25">
      <c r="A332" s="496">
        <f>A331+1</f>
        <v>200</v>
      </c>
      <c r="C332" s="351" t="s">
        <v>1107</v>
      </c>
      <c r="D332" s="86"/>
      <c r="E332" s="360"/>
      <c r="F332" s="513" t="s">
        <v>1388</v>
      </c>
      <c r="G332" s="513" t="s">
        <v>1388</v>
      </c>
      <c r="H332" s="86"/>
      <c r="I332" s="86"/>
      <c r="J332" s="86"/>
    </row>
    <row r="333" spans="1:10" x14ac:dyDescent="0.25">
      <c r="C333" s="351"/>
      <c r="D333" s="86"/>
      <c r="E333" s="360"/>
      <c r="F333" s="352"/>
      <c r="G333" s="501"/>
      <c r="H333" s="86"/>
      <c r="I333" s="86"/>
      <c r="J333" s="86"/>
    </row>
    <row r="334" spans="1:10" x14ac:dyDescent="0.25">
      <c r="C334" s="359" t="s">
        <v>2430</v>
      </c>
      <c r="D334" s="86"/>
      <c r="E334" s="453"/>
      <c r="F334" s="502"/>
      <c r="G334" s="161" t="s">
        <v>1110</v>
      </c>
      <c r="H334" s="86"/>
      <c r="I334" s="86"/>
      <c r="J334" s="86"/>
    </row>
    <row r="335" spans="1:10" x14ac:dyDescent="0.25">
      <c r="A335" s="496">
        <f>A332+1</f>
        <v>201</v>
      </c>
      <c r="C335" s="501" t="s">
        <v>222</v>
      </c>
      <c r="D335" s="86"/>
      <c r="E335" s="360"/>
      <c r="F335" s="513" t="s">
        <v>1388</v>
      </c>
      <c r="G335" s="513" t="s">
        <v>1388</v>
      </c>
      <c r="H335" s="86"/>
      <c r="I335" s="453"/>
      <c r="J335" s="453"/>
    </row>
    <row r="336" spans="1:10" x14ac:dyDescent="0.25">
      <c r="A336" s="496">
        <f>A335+1</f>
        <v>202</v>
      </c>
      <c r="C336" s="351" t="s">
        <v>224</v>
      </c>
      <c r="D336" s="86"/>
      <c r="E336" s="361"/>
      <c r="F336" s="968" t="s">
        <v>2193</v>
      </c>
      <c r="G336" s="513" t="s">
        <v>1388</v>
      </c>
      <c r="H336" s="86"/>
      <c r="I336" s="453"/>
      <c r="J336" s="453"/>
    </row>
    <row r="337" spans="1:10" x14ac:dyDescent="0.25">
      <c r="A337" s="496">
        <f>A336+1</f>
        <v>203</v>
      </c>
      <c r="C337" s="351" t="s">
        <v>1107</v>
      </c>
      <c r="D337" s="86"/>
      <c r="E337" s="360"/>
      <c r="F337" s="513" t="s">
        <v>1388</v>
      </c>
      <c r="G337" s="513" t="s">
        <v>1388</v>
      </c>
      <c r="H337" s="86"/>
      <c r="I337" s="453"/>
      <c r="J337" s="453"/>
    </row>
    <row r="338" spans="1:10" x14ac:dyDescent="0.25">
      <c r="C338" s="351"/>
      <c r="D338" s="86"/>
      <c r="E338" s="361"/>
      <c r="F338" s="353"/>
      <c r="G338" s="453"/>
      <c r="H338" s="86"/>
      <c r="I338" s="453"/>
      <c r="J338" s="453"/>
    </row>
    <row r="339" spans="1:10" x14ac:dyDescent="0.25">
      <c r="C339" s="359" t="s">
        <v>1113</v>
      </c>
      <c r="D339" s="86"/>
      <c r="E339" s="453"/>
      <c r="F339" s="502"/>
      <c r="G339" s="161" t="s">
        <v>1110</v>
      </c>
      <c r="H339" s="86"/>
      <c r="I339" s="453"/>
      <c r="J339" s="453"/>
    </row>
    <row r="340" spans="1:10" x14ac:dyDescent="0.25">
      <c r="A340" s="496">
        <f>A337+1</f>
        <v>204</v>
      </c>
      <c r="C340" s="501" t="s">
        <v>222</v>
      </c>
      <c r="D340" s="86"/>
      <c r="E340" s="360"/>
      <c r="F340" s="513" t="s">
        <v>1388</v>
      </c>
      <c r="G340" s="513" t="s">
        <v>1388</v>
      </c>
      <c r="H340" s="86"/>
      <c r="I340" s="453"/>
      <c r="J340" s="453"/>
    </row>
    <row r="341" spans="1:10" x14ac:dyDescent="0.25">
      <c r="A341" s="496">
        <f>A340+1</f>
        <v>205</v>
      </c>
      <c r="C341" s="351" t="s">
        <v>224</v>
      </c>
      <c r="D341" s="86"/>
      <c r="E341" s="361"/>
      <c r="F341" s="968" t="s">
        <v>2193</v>
      </c>
      <c r="G341" s="513" t="s">
        <v>1388</v>
      </c>
      <c r="H341" s="86"/>
      <c r="I341" s="453"/>
      <c r="J341" s="453"/>
    </row>
    <row r="342" spans="1:10" x14ac:dyDescent="0.25">
      <c r="A342" s="496">
        <f>A341+1</f>
        <v>206</v>
      </c>
      <c r="C342" s="351" t="s">
        <v>1107</v>
      </c>
      <c r="D342" s="86"/>
      <c r="E342" s="360"/>
      <c r="F342" s="513" t="s">
        <v>1388</v>
      </c>
      <c r="G342" s="513" t="s">
        <v>1388</v>
      </c>
      <c r="H342" s="86"/>
      <c r="I342" s="453"/>
      <c r="J342" s="453"/>
    </row>
    <row r="343" spans="1:10" x14ac:dyDescent="0.25">
      <c r="C343" s="86"/>
      <c r="D343" s="86"/>
      <c r="E343" s="86"/>
      <c r="F343" s="352"/>
      <c r="G343" s="86"/>
      <c r="H343" s="86"/>
      <c r="I343" s="86"/>
      <c r="J343" s="86"/>
    </row>
    <row r="344" spans="1:10" x14ac:dyDescent="0.25">
      <c r="C344" s="359" t="s">
        <v>1114</v>
      </c>
      <c r="D344" s="86"/>
      <c r="E344" s="453"/>
      <c r="F344" s="502"/>
      <c r="G344" s="161" t="s">
        <v>1110</v>
      </c>
      <c r="H344" s="86"/>
      <c r="I344" s="86"/>
      <c r="J344" s="86"/>
    </row>
    <row r="345" spans="1:10" x14ac:dyDescent="0.25">
      <c r="A345" s="496">
        <f>A342+1</f>
        <v>207</v>
      </c>
      <c r="C345" s="501" t="s">
        <v>222</v>
      </c>
      <c r="D345" s="86"/>
      <c r="E345" s="360"/>
      <c r="F345" s="513" t="s">
        <v>1388</v>
      </c>
      <c r="G345" s="513" t="s">
        <v>1388</v>
      </c>
      <c r="H345" s="86"/>
      <c r="I345" s="86"/>
      <c r="J345" s="86"/>
    </row>
    <row r="346" spans="1:10" x14ac:dyDescent="0.25">
      <c r="A346" s="496">
        <f>A345+1</f>
        <v>208</v>
      </c>
      <c r="C346" s="351" t="s">
        <v>224</v>
      </c>
      <c r="D346" s="86"/>
      <c r="E346" s="361"/>
      <c r="F346" s="968" t="s">
        <v>2193</v>
      </c>
      <c r="G346" s="513" t="s">
        <v>1388</v>
      </c>
      <c r="H346" s="86"/>
      <c r="I346" s="86"/>
      <c r="J346" s="86"/>
    </row>
    <row r="347" spans="1:10" x14ac:dyDescent="0.25">
      <c r="A347" s="496">
        <f>A346+1</f>
        <v>209</v>
      </c>
      <c r="C347" s="351" t="s">
        <v>1107</v>
      </c>
      <c r="D347" s="86"/>
      <c r="E347" s="360"/>
      <c r="F347" s="513" t="s">
        <v>1388</v>
      </c>
      <c r="G347" s="513" t="s">
        <v>1388</v>
      </c>
      <c r="H347" s="86"/>
      <c r="I347" s="86"/>
      <c r="J347" s="86"/>
    </row>
    <row r="348" spans="1:10" x14ac:dyDescent="0.25">
      <c r="C348" s="86"/>
      <c r="D348" s="86"/>
      <c r="E348" s="86"/>
      <c r="F348" s="352"/>
      <c r="G348" s="86"/>
      <c r="H348" s="86"/>
      <c r="I348" s="86"/>
      <c r="J348" s="86"/>
    </row>
    <row r="349" spans="1:10" x14ac:dyDescent="0.25">
      <c r="C349" s="359" t="s">
        <v>1115</v>
      </c>
      <c r="D349" s="86"/>
      <c r="E349" s="453"/>
      <c r="F349" s="502"/>
      <c r="G349" s="161" t="s">
        <v>1110</v>
      </c>
      <c r="H349" s="86"/>
      <c r="I349" s="86"/>
      <c r="J349" s="86"/>
    </row>
    <row r="350" spans="1:10" x14ac:dyDescent="0.25">
      <c r="A350" s="496">
        <f>A347+1</f>
        <v>210</v>
      </c>
      <c r="C350" s="501" t="s">
        <v>222</v>
      </c>
      <c r="D350" s="86"/>
      <c r="E350" s="360"/>
      <c r="F350" s="513" t="s">
        <v>1388</v>
      </c>
      <c r="G350" s="513" t="s">
        <v>1388</v>
      </c>
      <c r="H350" s="86"/>
      <c r="I350" s="86"/>
      <c r="J350" s="86"/>
    </row>
    <row r="351" spans="1:10" x14ac:dyDescent="0.25">
      <c r="A351" s="496">
        <f>A350+1</f>
        <v>211</v>
      </c>
      <c r="C351" s="351" t="s">
        <v>224</v>
      </c>
      <c r="D351" s="86"/>
      <c r="E351" s="361"/>
      <c r="F351" s="968" t="s">
        <v>2193</v>
      </c>
      <c r="G351" s="513" t="s">
        <v>1388</v>
      </c>
      <c r="H351" s="86"/>
      <c r="I351" s="86"/>
      <c r="J351" s="86"/>
    </row>
    <row r="352" spans="1:10" x14ac:dyDescent="0.25">
      <c r="A352" s="496">
        <f>A351+1</f>
        <v>212</v>
      </c>
      <c r="C352" s="351" t="s">
        <v>1107</v>
      </c>
      <c r="D352" s="86"/>
      <c r="E352" s="360"/>
      <c r="F352" s="513" t="s">
        <v>1388</v>
      </c>
      <c r="G352" s="513" t="s">
        <v>1388</v>
      </c>
      <c r="H352" s="86"/>
      <c r="I352" s="86"/>
      <c r="J352" s="86"/>
    </row>
    <row r="353" spans="1:10" x14ac:dyDescent="0.25">
      <c r="C353" s="86"/>
      <c r="D353" s="86"/>
      <c r="E353" s="86"/>
      <c r="F353" s="352"/>
      <c r="G353" s="86"/>
      <c r="H353" s="86"/>
      <c r="I353" s="86"/>
      <c r="J353" s="86"/>
    </row>
    <row r="354" spans="1:10" x14ac:dyDescent="0.25">
      <c r="C354" s="359" t="s">
        <v>2431</v>
      </c>
      <c r="D354" s="86"/>
      <c r="E354" s="453"/>
      <c r="F354" s="502"/>
      <c r="G354" s="161" t="s">
        <v>1110</v>
      </c>
      <c r="H354" s="86"/>
      <c r="I354" s="86"/>
      <c r="J354" s="86"/>
    </row>
    <row r="355" spans="1:10" x14ac:dyDescent="0.25">
      <c r="A355" s="496">
        <f>A352+1</f>
        <v>213</v>
      </c>
      <c r="C355" s="501" t="s">
        <v>222</v>
      </c>
      <c r="D355" s="86"/>
      <c r="E355" s="360"/>
      <c r="F355" s="513" t="s">
        <v>1388</v>
      </c>
      <c r="G355" s="513" t="s">
        <v>1388</v>
      </c>
      <c r="H355" s="86"/>
      <c r="I355" s="86"/>
      <c r="J355" s="86"/>
    </row>
    <row r="356" spans="1:10" x14ac:dyDescent="0.25">
      <c r="A356" s="496">
        <f>A355+1</f>
        <v>214</v>
      </c>
      <c r="C356" s="351" t="s">
        <v>224</v>
      </c>
      <c r="D356" s="86"/>
      <c r="E356" s="361"/>
      <c r="F356" s="968" t="s">
        <v>2193</v>
      </c>
      <c r="G356" s="513" t="s">
        <v>1388</v>
      </c>
      <c r="H356" s="86"/>
      <c r="I356" s="86"/>
      <c r="J356" s="86"/>
    </row>
    <row r="357" spans="1:10" x14ac:dyDescent="0.25">
      <c r="A357" s="496">
        <f>A356+1</f>
        <v>215</v>
      </c>
      <c r="C357" s="351" t="s">
        <v>1107</v>
      </c>
      <c r="D357" s="86"/>
      <c r="E357" s="360"/>
      <c r="F357" s="513" t="s">
        <v>1388</v>
      </c>
      <c r="G357" s="513" t="s">
        <v>1388</v>
      </c>
      <c r="H357" s="86"/>
      <c r="I357" s="86"/>
      <c r="J357" s="86"/>
    </row>
    <row r="358" spans="1:10" x14ac:dyDescent="0.25">
      <c r="C358" s="86"/>
      <c r="D358" s="86"/>
      <c r="E358" s="86"/>
      <c r="F358" s="352"/>
      <c r="G358" s="86"/>
      <c r="H358" s="86"/>
      <c r="I358" s="86"/>
      <c r="J358" s="86"/>
    </row>
    <row r="359" spans="1:10" x14ac:dyDescent="0.25">
      <c r="C359" s="359" t="s">
        <v>2432</v>
      </c>
      <c r="D359" s="86"/>
      <c r="E359" s="453"/>
      <c r="F359" s="502"/>
      <c r="G359" s="161" t="s">
        <v>1110</v>
      </c>
      <c r="H359" s="86"/>
      <c r="I359" s="86"/>
      <c r="J359" s="86"/>
    </row>
    <row r="360" spans="1:10" x14ac:dyDescent="0.25">
      <c r="A360" s="496">
        <f>A357+1</f>
        <v>216</v>
      </c>
      <c r="C360" s="501" t="s">
        <v>222</v>
      </c>
      <c r="D360" s="86"/>
      <c r="E360" s="360"/>
      <c r="F360" s="513" t="s">
        <v>1388</v>
      </c>
      <c r="G360" s="513" t="s">
        <v>1388</v>
      </c>
      <c r="H360" s="86"/>
      <c r="I360" s="86"/>
      <c r="J360" s="86"/>
    </row>
    <row r="361" spans="1:10" x14ac:dyDescent="0.25">
      <c r="A361" s="496">
        <f>A360+1</f>
        <v>217</v>
      </c>
      <c r="C361" s="351" t="s">
        <v>224</v>
      </c>
      <c r="D361" s="86"/>
      <c r="E361" s="361"/>
      <c r="F361" s="968" t="s">
        <v>2193</v>
      </c>
      <c r="G361" s="513" t="s">
        <v>1388</v>
      </c>
      <c r="H361" s="86"/>
      <c r="I361" s="86"/>
      <c r="J361" s="86"/>
    </row>
    <row r="362" spans="1:10" x14ac:dyDescent="0.25">
      <c r="A362" s="496">
        <f>A361+1</f>
        <v>218</v>
      </c>
      <c r="C362" s="351" t="s">
        <v>1107</v>
      </c>
      <c r="D362" s="86"/>
      <c r="E362" s="360"/>
      <c r="F362" s="513" t="s">
        <v>1388</v>
      </c>
      <c r="G362" s="513" t="s">
        <v>1388</v>
      </c>
      <c r="H362" s="86"/>
      <c r="I362" s="86"/>
      <c r="J362" s="86"/>
    </row>
    <row r="363" spans="1:10" x14ac:dyDescent="0.25">
      <c r="C363" s="86"/>
      <c r="D363" s="86"/>
      <c r="E363" s="86"/>
      <c r="F363" s="86"/>
      <c r="G363" s="86"/>
      <c r="H363" s="86"/>
      <c r="I363" s="86"/>
      <c r="J363" s="86"/>
    </row>
    <row r="364" spans="1:10" x14ac:dyDescent="0.25">
      <c r="C364" s="355" t="s">
        <v>1116</v>
      </c>
      <c r="D364" s="86"/>
      <c r="E364" s="86"/>
      <c r="F364" s="86"/>
      <c r="G364" s="161" t="s">
        <v>1110</v>
      </c>
      <c r="H364" s="86"/>
      <c r="I364" s="86"/>
      <c r="J364" s="86"/>
    </row>
    <row r="365" spans="1:10" x14ac:dyDescent="0.25">
      <c r="A365" s="496">
        <f>A362+1</f>
        <v>219</v>
      </c>
      <c r="C365" s="501" t="s">
        <v>222</v>
      </c>
      <c r="D365" s="86"/>
      <c r="E365" s="86"/>
      <c r="F365" s="513" t="s">
        <v>1388</v>
      </c>
      <c r="G365" s="513" t="s">
        <v>1388</v>
      </c>
      <c r="H365" s="86"/>
      <c r="I365" s="86"/>
      <c r="J365" s="86"/>
    </row>
    <row r="366" spans="1:10" x14ac:dyDescent="0.25">
      <c r="A366" s="496">
        <f>A365+1</f>
        <v>220</v>
      </c>
      <c r="C366" s="351" t="s">
        <v>224</v>
      </c>
      <c r="D366" s="86"/>
      <c r="E366" s="86"/>
      <c r="F366" s="968" t="s">
        <v>2193</v>
      </c>
      <c r="G366" s="513" t="s">
        <v>1388</v>
      </c>
      <c r="H366" s="86"/>
      <c r="I366" s="86"/>
      <c r="J366" s="86"/>
    </row>
    <row r="367" spans="1:10" x14ac:dyDescent="0.25">
      <c r="A367" s="496">
        <f>A366+1</f>
        <v>221</v>
      </c>
      <c r="C367" s="351" t="s">
        <v>1107</v>
      </c>
      <c r="D367" s="86"/>
      <c r="E367" s="86"/>
      <c r="F367" s="513" t="s">
        <v>1388</v>
      </c>
      <c r="G367" s="513" t="s">
        <v>1388</v>
      </c>
      <c r="H367" s="86"/>
      <c r="I367" s="86"/>
      <c r="J367" s="86"/>
    </row>
    <row r="368" spans="1:10" x14ac:dyDescent="0.25">
      <c r="C368" s="356" t="s">
        <v>510</v>
      </c>
    </row>
    <row r="370" spans="2:3" x14ac:dyDescent="0.25">
      <c r="B370" s="357" t="s">
        <v>382</v>
      </c>
    </row>
    <row r="371" spans="2:3" x14ac:dyDescent="0.25">
      <c r="C371" s="443" t="s">
        <v>1204</v>
      </c>
    </row>
    <row r="372" spans="2:3" x14ac:dyDescent="0.25">
      <c r="C372" t="s">
        <v>1117</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151</v>
      </c>
      <c r="B1" s="1"/>
    </row>
    <row r="2" spans="1:9" x14ac:dyDescent="0.25">
      <c r="A2" s="1"/>
      <c r="B2" s="1"/>
      <c r="G2" s="84" t="s">
        <v>249</v>
      </c>
      <c r="H2" s="84"/>
    </row>
    <row r="3" spans="1:9" x14ac:dyDescent="0.25">
      <c r="A3" s="1"/>
      <c r="B3" s="11" t="s">
        <v>983</v>
      </c>
    </row>
    <row r="4" spans="1:9" x14ac:dyDescent="0.25">
      <c r="A4" s="1"/>
      <c r="B4" s="12" t="s">
        <v>984</v>
      </c>
    </row>
    <row r="5" spans="1:9" x14ac:dyDescent="0.25">
      <c r="A5" s="1"/>
      <c r="B5" s="447" t="s">
        <v>1508</v>
      </c>
    </row>
    <row r="7" spans="1:9" ht="13.5" customHeight="1" x14ac:dyDescent="0.25">
      <c r="B7" s="1" t="s">
        <v>275</v>
      </c>
    </row>
    <row r="8" spans="1:9" x14ac:dyDescent="0.25">
      <c r="A8" s="1"/>
      <c r="B8" s="1"/>
    </row>
    <row r="9" spans="1:9" x14ac:dyDescent="0.25">
      <c r="A9" s="1"/>
      <c r="B9" s="1"/>
      <c r="C9" s="11" t="s">
        <v>298</v>
      </c>
    </row>
    <row r="10" spans="1:9" x14ac:dyDescent="0.25">
      <c r="A10" s="1"/>
      <c r="B10" s="1"/>
      <c r="C10" s="11" t="s">
        <v>1129</v>
      </c>
    </row>
    <row r="11" spans="1:9" x14ac:dyDescent="0.25">
      <c r="A11" s="1"/>
      <c r="B11" s="1"/>
      <c r="C11" s="11"/>
    </row>
    <row r="12" spans="1:9" x14ac:dyDescent="0.25">
      <c r="A12" s="1"/>
      <c r="B12" s="1"/>
      <c r="C12" s="443" t="s">
        <v>1479</v>
      </c>
    </row>
    <row r="13" spans="1:9" x14ac:dyDescent="0.25">
      <c r="A13" s="1"/>
      <c r="B13" s="1"/>
    </row>
    <row r="14" spans="1:9" x14ac:dyDescent="0.25">
      <c r="A14" s="44" t="s">
        <v>332</v>
      </c>
      <c r="B14" s="1"/>
      <c r="C14" s="11" t="s">
        <v>368</v>
      </c>
      <c r="G14" s="3" t="s">
        <v>172</v>
      </c>
      <c r="I14" s="3" t="s">
        <v>180</v>
      </c>
    </row>
    <row r="15" spans="1:9" x14ac:dyDescent="0.25">
      <c r="A15" s="94">
        <v>1</v>
      </c>
      <c r="B15" s="38"/>
      <c r="C15" s="40" t="s">
        <v>369</v>
      </c>
      <c r="D15" s="13"/>
      <c r="E15" s="13"/>
      <c r="F15" s="13"/>
      <c r="G15" s="926" t="s">
        <v>2193</v>
      </c>
      <c r="H15" s="13"/>
      <c r="I15" s="14" t="str">
        <f>"1-BaseTRR, L "&amp;'1-BaseTRR'!A80&amp;""</f>
        <v>1-BaseTRR, L 47</v>
      </c>
    </row>
    <row r="16" spans="1:9" x14ac:dyDescent="0.25">
      <c r="A16" s="94">
        <v>2</v>
      </c>
      <c r="B16" s="38"/>
      <c r="C16" s="40" t="s">
        <v>219</v>
      </c>
      <c r="D16" s="13"/>
      <c r="E16" s="13"/>
      <c r="F16" s="13"/>
      <c r="G16" s="927" t="s">
        <v>2193</v>
      </c>
      <c r="H16" s="13"/>
      <c r="I16" s="14" t="str">
        <f>"1-BaseTRR, L "&amp;'1-BaseTRR'!A102&amp;""</f>
        <v>1-BaseTRR, L 59</v>
      </c>
    </row>
    <row r="17" spans="1:9" x14ac:dyDescent="0.25">
      <c r="A17" s="94">
        <v>3</v>
      </c>
      <c r="B17" s="38"/>
      <c r="C17" s="13"/>
      <c r="D17" s="13"/>
      <c r="E17" s="13"/>
      <c r="F17" s="323" t="s">
        <v>495</v>
      </c>
      <c r="G17" s="940">
        <v>0</v>
      </c>
      <c r="H17" s="13"/>
      <c r="I17" s="14" t="s">
        <v>370</v>
      </c>
    </row>
    <row r="18" spans="1:9" x14ac:dyDescent="0.25">
      <c r="A18" s="13"/>
      <c r="B18" s="13"/>
      <c r="C18" s="13"/>
      <c r="D18" s="13"/>
      <c r="E18" s="13"/>
      <c r="F18" s="13"/>
      <c r="G18" s="13"/>
      <c r="H18" s="13"/>
      <c r="I18" s="13"/>
    </row>
    <row r="19" spans="1:9" x14ac:dyDescent="0.25">
      <c r="A19" s="13"/>
      <c r="B19" s="38" t="s">
        <v>276</v>
      </c>
      <c r="C19" s="13"/>
      <c r="D19" s="13"/>
      <c r="E19" s="13"/>
      <c r="F19" s="13"/>
      <c r="G19" s="13"/>
      <c r="H19" s="13"/>
      <c r="I19" s="13"/>
    </row>
    <row r="20" spans="1:9" x14ac:dyDescent="0.25">
      <c r="A20" s="38"/>
      <c r="B20" s="38"/>
      <c r="C20" s="14" t="s">
        <v>303</v>
      </c>
      <c r="D20" s="13"/>
      <c r="E20" s="13"/>
      <c r="F20" s="13"/>
      <c r="G20" s="13"/>
      <c r="H20" s="13"/>
      <c r="I20" s="13"/>
    </row>
    <row r="21" spans="1:9" x14ac:dyDescent="0.25">
      <c r="A21" s="38"/>
      <c r="B21" s="38"/>
      <c r="C21" s="14" t="s">
        <v>496</v>
      </c>
      <c r="D21" s="13"/>
      <c r="E21" s="13"/>
      <c r="F21" s="13"/>
      <c r="G21" s="13"/>
      <c r="H21" s="13"/>
      <c r="I21" s="13"/>
    </row>
    <row r="22" spans="1:9" x14ac:dyDescent="0.25">
      <c r="A22" s="38"/>
      <c r="B22" s="38"/>
      <c r="C22" s="13"/>
      <c r="D22" s="13"/>
      <c r="E22" s="13"/>
      <c r="F22" s="13"/>
      <c r="G22" s="13"/>
      <c r="H22" s="13"/>
      <c r="I22" s="13"/>
    </row>
    <row r="23" spans="1:9" x14ac:dyDescent="0.25">
      <c r="A23" s="38"/>
      <c r="B23" s="38"/>
      <c r="C23" s="13"/>
      <c r="D23" s="13"/>
      <c r="E23" s="13"/>
      <c r="F23" s="94" t="s">
        <v>278</v>
      </c>
      <c r="G23" s="13"/>
      <c r="H23" s="13"/>
      <c r="I23" s="13"/>
    </row>
    <row r="24" spans="1:9" x14ac:dyDescent="0.25">
      <c r="A24" s="844" t="s">
        <v>332</v>
      </c>
      <c r="B24" s="844"/>
      <c r="C24" s="13"/>
      <c r="D24" s="13"/>
      <c r="E24" s="104" t="s">
        <v>9</v>
      </c>
      <c r="F24" s="104" t="s">
        <v>35</v>
      </c>
      <c r="G24" s="104" t="s">
        <v>180</v>
      </c>
      <c r="H24" s="13"/>
      <c r="I24" s="13"/>
    </row>
    <row r="25" spans="1:9" x14ac:dyDescent="0.25">
      <c r="A25" s="94">
        <f>A17+1</f>
        <v>4</v>
      </c>
      <c r="B25" s="94"/>
      <c r="C25" s="13" t="s">
        <v>228</v>
      </c>
      <c r="D25" s="13"/>
      <c r="E25" s="926" t="s">
        <v>2193</v>
      </c>
      <c r="F25" s="942" t="s">
        <v>2196</v>
      </c>
      <c r="G25" s="40" t="str">
        <f>"14-IncentivePlant, L "&amp;'14-IncentivePlant'!A308&amp;""</f>
        <v>14-IncentivePlant, L 184</v>
      </c>
      <c r="H25" s="13"/>
      <c r="I25" s="13"/>
    </row>
    <row r="26" spans="1:9" x14ac:dyDescent="0.25">
      <c r="A26" s="94">
        <f>A25+1</f>
        <v>5</v>
      </c>
      <c r="B26" s="94"/>
      <c r="C26" s="13" t="s">
        <v>229</v>
      </c>
      <c r="D26" s="13"/>
      <c r="E26" s="926" t="s">
        <v>2193</v>
      </c>
      <c r="F26" s="942" t="s">
        <v>2196</v>
      </c>
      <c r="G26" s="40" t="str">
        <f>"14-IncentivePlant, L "&amp;'14-IncentivePlant'!A313&amp;""</f>
        <v>14-IncentivePlant, L 187</v>
      </c>
      <c r="H26" s="13"/>
      <c r="I26" s="13"/>
    </row>
    <row r="27" spans="1:9" x14ac:dyDescent="0.25">
      <c r="A27" s="94">
        <f>A26+1</f>
        <v>6</v>
      </c>
      <c r="B27" s="94"/>
      <c r="C27" s="445" t="s">
        <v>2205</v>
      </c>
      <c r="D27" s="13"/>
      <c r="E27" s="926" t="s">
        <v>2193</v>
      </c>
      <c r="F27" s="942" t="s">
        <v>2196</v>
      </c>
      <c r="G27" s="40" t="str">
        <f>"14-IncentivePlant, L "&amp;'14-IncentivePlant'!A318&amp;""</f>
        <v>14-IncentivePlant, L 190</v>
      </c>
      <c r="H27" s="13"/>
      <c r="I27" s="13"/>
    </row>
    <row r="28" spans="1:9" x14ac:dyDescent="0.25">
      <c r="A28" s="2">
        <f>A27+1</f>
        <v>7</v>
      </c>
      <c r="B28" s="2"/>
      <c r="C28" s="98"/>
      <c r="D28" s="86"/>
      <c r="E28" s="36"/>
      <c r="F28" s="87"/>
    </row>
    <row r="29" spans="1:9" x14ac:dyDescent="0.25">
      <c r="A29" s="2">
        <f>A28+1</f>
        <v>8</v>
      </c>
      <c r="B29" s="2"/>
      <c r="C29" s="159" t="s">
        <v>510</v>
      </c>
      <c r="E29" s="36"/>
      <c r="F29" s="87"/>
    </row>
    <row r="31" spans="1:9" x14ac:dyDescent="0.25">
      <c r="B31" s="1" t="s">
        <v>277</v>
      </c>
    </row>
    <row r="32" spans="1:9" x14ac:dyDescent="0.25">
      <c r="A32" s="1"/>
      <c r="B32" s="1"/>
      <c r="C32" s="11" t="s">
        <v>1437</v>
      </c>
    </row>
    <row r="33" spans="1:9" x14ac:dyDescent="0.25">
      <c r="A33" s="1"/>
      <c r="B33" s="1"/>
      <c r="C33" s="11" t="s">
        <v>497</v>
      </c>
    </row>
    <row r="34" spans="1:9" x14ac:dyDescent="0.25">
      <c r="A34" s="1"/>
      <c r="B34" s="1"/>
      <c r="C34" s="11" t="s">
        <v>498</v>
      </c>
    </row>
    <row r="35" spans="1:9" x14ac:dyDescent="0.25">
      <c r="E35" s="2"/>
      <c r="G35" s="2"/>
    </row>
    <row r="36" spans="1:9" x14ac:dyDescent="0.25">
      <c r="E36" s="2" t="s">
        <v>64</v>
      </c>
      <c r="G36" s="2" t="s">
        <v>64</v>
      </c>
    </row>
    <row r="37" spans="1:9" x14ac:dyDescent="0.25">
      <c r="E37" s="2" t="s">
        <v>8</v>
      </c>
      <c r="F37" s="2" t="s">
        <v>278</v>
      </c>
      <c r="G37" s="2" t="s">
        <v>8</v>
      </c>
    </row>
    <row r="38" spans="1:9" x14ac:dyDescent="0.25">
      <c r="A38" s="44" t="s">
        <v>332</v>
      </c>
      <c r="B38" s="44"/>
      <c r="E38" s="3" t="s">
        <v>174</v>
      </c>
      <c r="F38" s="3" t="s">
        <v>35</v>
      </c>
      <c r="G38" s="3" t="s">
        <v>279</v>
      </c>
      <c r="H38" s="3" t="s">
        <v>180</v>
      </c>
    </row>
    <row r="39" spans="1:9" x14ac:dyDescent="0.25">
      <c r="A39" s="2">
        <f>A29+1</f>
        <v>9</v>
      </c>
      <c r="B39" s="2"/>
      <c r="C39" t="s">
        <v>228</v>
      </c>
      <c r="E39" s="940">
        <v>0</v>
      </c>
      <c r="F39" s="942" t="s">
        <v>2196</v>
      </c>
      <c r="G39" s="940">
        <v>0</v>
      </c>
      <c r="H39" s="40" t="str">
        <f>"14-IncentivePlant, L "&amp;'14-IncentivePlant'!A46&amp;", Col. 1"</f>
        <v>14-IncentivePlant, L 13, Col. 1</v>
      </c>
    </row>
    <row r="40" spans="1:9" x14ac:dyDescent="0.25">
      <c r="A40" s="2">
        <f>A39+1</f>
        <v>10</v>
      </c>
      <c r="B40" s="2"/>
      <c r="C40" t="s">
        <v>229</v>
      </c>
      <c r="E40" s="940">
        <v>0</v>
      </c>
      <c r="F40" s="942" t="s">
        <v>2196</v>
      </c>
      <c r="G40" s="940">
        <v>0</v>
      </c>
      <c r="H40" s="40" t="str">
        <f>"14-IncentivePlant, L "&amp;'14-IncentivePlant'!A47&amp;", Col. 1"</f>
        <v>14-IncentivePlant, L 14, Col. 1</v>
      </c>
    </row>
    <row r="41" spans="1:9" x14ac:dyDescent="0.25">
      <c r="A41" s="2">
        <f>A40+1</f>
        <v>11</v>
      </c>
      <c r="B41" s="2"/>
      <c r="C41" s="445" t="s">
        <v>2205</v>
      </c>
      <c r="E41" s="940">
        <v>0</v>
      </c>
      <c r="F41" s="942" t="s">
        <v>2196</v>
      </c>
      <c r="G41" s="940">
        <v>0</v>
      </c>
      <c r="H41" s="40" t="str">
        <f>"14-IncentivePlant, L "&amp;'14-IncentivePlant'!A48&amp;", Col. 1"</f>
        <v>14-IncentivePlant, L 15, Col. 1</v>
      </c>
    </row>
    <row r="42" spans="1:9" x14ac:dyDescent="0.25">
      <c r="A42" s="2">
        <f>A41+1</f>
        <v>12</v>
      </c>
      <c r="B42" s="2"/>
      <c r="C42" s="98"/>
      <c r="D42" s="86"/>
      <c r="H42" s="13"/>
    </row>
    <row r="43" spans="1:9" x14ac:dyDescent="0.25">
      <c r="A43" s="2">
        <f>A42+1</f>
        <v>13</v>
      </c>
      <c r="B43" s="2"/>
      <c r="C43" s="159" t="s">
        <v>510</v>
      </c>
      <c r="H43" s="13"/>
    </row>
    <row r="44" spans="1:9" x14ac:dyDescent="0.25">
      <c r="A44" s="2">
        <f>A43+1</f>
        <v>14</v>
      </c>
      <c r="F44" s="30" t="s">
        <v>79</v>
      </c>
      <c r="G44" s="940">
        <v>0</v>
      </c>
      <c r="H44" s="442" t="s">
        <v>1674</v>
      </c>
    </row>
    <row r="45" spans="1:9" x14ac:dyDescent="0.25">
      <c r="H45" s="442" t="s">
        <v>1675</v>
      </c>
      <c r="I45" s="6"/>
    </row>
    <row r="46" spans="1:9" x14ac:dyDescent="0.25">
      <c r="B46" s="1" t="s">
        <v>1465</v>
      </c>
      <c r="H46" s="13"/>
    </row>
    <row r="47" spans="1:9" x14ac:dyDescent="0.25">
      <c r="A47" s="1"/>
      <c r="B47" s="1"/>
      <c r="C47" s="443" t="s">
        <v>1466</v>
      </c>
      <c r="H47" s="13"/>
    </row>
    <row r="48" spans="1:9" x14ac:dyDescent="0.25">
      <c r="A48" s="1"/>
      <c r="B48" s="1"/>
      <c r="C48" s="443" t="s">
        <v>1509</v>
      </c>
      <c r="H48" s="13"/>
    </row>
    <row r="49" spans="1:9" x14ac:dyDescent="0.25">
      <c r="A49" s="1"/>
      <c r="B49" s="1"/>
      <c r="C49" s="443" t="s">
        <v>1673</v>
      </c>
      <c r="H49" s="13"/>
    </row>
    <row r="50" spans="1:9" x14ac:dyDescent="0.25">
      <c r="H50" s="13"/>
    </row>
    <row r="51" spans="1:9" x14ac:dyDescent="0.25">
      <c r="E51" s="2" t="s">
        <v>0</v>
      </c>
      <c r="G51" s="2" t="s">
        <v>0</v>
      </c>
      <c r="H51" s="13"/>
    </row>
    <row r="52" spans="1:9" x14ac:dyDescent="0.25">
      <c r="E52" s="2" t="s">
        <v>8</v>
      </c>
      <c r="F52" s="2" t="s">
        <v>278</v>
      </c>
      <c r="G52" s="2" t="s">
        <v>8</v>
      </c>
      <c r="H52" s="13"/>
    </row>
    <row r="53" spans="1:9" x14ac:dyDescent="0.25">
      <c r="A53" s="44" t="s">
        <v>332</v>
      </c>
      <c r="B53" s="44"/>
      <c r="E53" s="3" t="s">
        <v>998</v>
      </c>
      <c r="F53" s="3" t="s">
        <v>35</v>
      </c>
      <c r="G53" s="3" t="s">
        <v>279</v>
      </c>
      <c r="H53" s="104" t="s">
        <v>180</v>
      </c>
    </row>
    <row r="54" spans="1:9" x14ac:dyDescent="0.25">
      <c r="A54" s="2">
        <f>A44+1</f>
        <v>15</v>
      </c>
      <c r="B54" s="2"/>
      <c r="C54" t="s">
        <v>228</v>
      </c>
      <c r="E54" s="940">
        <v>0</v>
      </c>
      <c r="F54" s="942" t="s">
        <v>2196</v>
      </c>
      <c r="G54" s="943">
        <v>0</v>
      </c>
      <c r="H54" s="40" t="str">
        <f>"14-IncentivePlant, L "&amp;'14-IncentivePlant'!A60&amp;", Col. 1"</f>
        <v>14-IncentivePlant, L 19, Col. 1</v>
      </c>
    </row>
    <row r="55" spans="1:9" x14ac:dyDescent="0.25">
      <c r="A55" s="2">
        <f>A54+1</f>
        <v>16</v>
      </c>
      <c r="B55" s="2"/>
      <c r="C55" t="s">
        <v>229</v>
      </c>
      <c r="E55" s="940">
        <v>0</v>
      </c>
      <c r="F55" s="942" t="s">
        <v>2196</v>
      </c>
      <c r="G55" s="943">
        <v>0</v>
      </c>
      <c r="H55" s="40" t="str">
        <f>"14-IncentivePlant, L "&amp;'14-IncentivePlant'!A61&amp;", Col. 1"</f>
        <v>14-IncentivePlant, L 20, Col. 1</v>
      </c>
    </row>
    <row r="56" spans="1:9" x14ac:dyDescent="0.25">
      <c r="A56" s="2">
        <f>A55+1</f>
        <v>17</v>
      </c>
      <c r="B56" s="2"/>
      <c r="C56" s="445" t="s">
        <v>2205</v>
      </c>
      <c r="E56" s="940">
        <v>0</v>
      </c>
      <c r="F56" s="942" t="s">
        <v>2196</v>
      </c>
      <c r="G56" s="943">
        <v>0</v>
      </c>
      <c r="H56" s="40" t="str">
        <f>"14-IncentivePlant, L "&amp;'14-IncentivePlant'!A62&amp;", Col. 1"</f>
        <v>14-IncentivePlant, L 21, Col. 1</v>
      </c>
    </row>
    <row r="57" spans="1:9" x14ac:dyDescent="0.25">
      <c r="A57" s="2">
        <f>A56+1</f>
        <v>18</v>
      </c>
      <c r="B57" s="2"/>
      <c r="C57" s="98"/>
      <c r="D57" s="86"/>
      <c r="H57" s="13"/>
    </row>
    <row r="58" spans="1:9" x14ac:dyDescent="0.25">
      <c r="A58" s="2">
        <f>A57+1</f>
        <v>19</v>
      </c>
      <c r="B58" s="2"/>
      <c r="C58" s="159" t="s">
        <v>510</v>
      </c>
    </row>
    <row r="59" spans="1:9" x14ac:dyDescent="0.25">
      <c r="A59" s="2">
        <f>A58+1</f>
        <v>20</v>
      </c>
      <c r="F59" s="441" t="s">
        <v>1467</v>
      </c>
      <c r="G59" s="940">
        <v>0</v>
      </c>
      <c r="H59" s="447" t="s">
        <v>1674</v>
      </c>
    </row>
    <row r="60" spans="1:9" x14ac:dyDescent="0.25">
      <c r="H60" s="447" t="s">
        <v>1675</v>
      </c>
      <c r="I60" s="6"/>
    </row>
    <row r="61" spans="1:9" x14ac:dyDescent="0.25">
      <c r="B61" s="1" t="s">
        <v>1524</v>
      </c>
    </row>
    <row r="63" spans="1:9" x14ac:dyDescent="0.25">
      <c r="C63" s="1" t="s">
        <v>1525</v>
      </c>
    </row>
    <row r="65" spans="1:7" x14ac:dyDescent="0.25">
      <c r="E65" s="469" t="s">
        <v>10</v>
      </c>
    </row>
    <row r="66" spans="1:7" x14ac:dyDescent="0.25">
      <c r="C66" s="469" t="s">
        <v>8</v>
      </c>
      <c r="E66" s="469" t="s">
        <v>301</v>
      </c>
    </row>
    <row r="67" spans="1:7" x14ac:dyDescent="0.25">
      <c r="A67" s="44" t="s">
        <v>332</v>
      </c>
      <c r="C67" s="3" t="s">
        <v>227</v>
      </c>
      <c r="E67" s="3" t="s">
        <v>3</v>
      </c>
      <c r="F67" s="3" t="s">
        <v>180</v>
      </c>
    </row>
    <row r="68" spans="1:7" x14ac:dyDescent="0.25">
      <c r="A68" s="469">
        <f>A59+1</f>
        <v>21</v>
      </c>
      <c r="C68" t="s">
        <v>228</v>
      </c>
      <c r="E68" s="940">
        <v>0</v>
      </c>
      <c r="F68" s="442" t="str">
        <f>"14-IncentivePlant, L "&amp;'14-IncentivePlant'!A60&amp;", Col. 3"</f>
        <v>14-IncentivePlant, L 19, Col. 3</v>
      </c>
      <c r="G68" s="13"/>
    </row>
    <row r="69" spans="1:7" x14ac:dyDescent="0.25">
      <c r="A69" s="469">
        <f t="shared" ref="A69:A71" si="0">A68+1</f>
        <v>22</v>
      </c>
      <c r="C69" t="s">
        <v>229</v>
      </c>
      <c r="E69" s="940">
        <v>0</v>
      </c>
      <c r="F69" s="442" t="str">
        <f>"14-IncentivePlant, L "&amp;'14-IncentivePlant'!A61&amp;", Col. 3"</f>
        <v>14-IncentivePlant, L 20, Col. 3</v>
      </c>
      <c r="G69" s="13"/>
    </row>
    <row r="70" spans="1:7" x14ac:dyDescent="0.25">
      <c r="A70" s="469">
        <f t="shared" si="0"/>
        <v>23</v>
      </c>
      <c r="C70" s="445" t="s">
        <v>2205</v>
      </c>
      <c r="E70" s="940">
        <v>0</v>
      </c>
      <c r="F70" s="442" t="str">
        <f>"14-IncentivePlant, L "&amp;'14-IncentivePlant'!A62&amp;", Col. 3"</f>
        <v>14-IncentivePlant, L 21, Col. 3</v>
      </c>
      <c r="G70" s="13"/>
    </row>
    <row r="71" spans="1:7" x14ac:dyDescent="0.25">
      <c r="A71" s="469">
        <f t="shared" si="0"/>
        <v>24</v>
      </c>
      <c r="C71" s="98"/>
      <c r="F71" s="442"/>
      <c r="G71" s="13"/>
    </row>
    <row r="72" spans="1:7" x14ac:dyDescent="0.25">
      <c r="C72" s="470" t="s">
        <v>510</v>
      </c>
      <c r="F72" s="13"/>
      <c r="G72" s="13"/>
    </row>
    <row r="73" spans="1:7" x14ac:dyDescent="0.25">
      <c r="C73" s="470"/>
      <c r="F73" s="13"/>
      <c r="G73" s="13"/>
    </row>
    <row r="74" spans="1:7" x14ac:dyDescent="0.25">
      <c r="C74" s="1" t="s">
        <v>1526</v>
      </c>
      <c r="F74" s="13"/>
      <c r="G74" s="13"/>
    </row>
    <row r="75" spans="1:7" x14ac:dyDescent="0.25">
      <c r="C75" s="1"/>
      <c r="F75" s="13"/>
      <c r="G75" s="13"/>
    </row>
    <row r="76" spans="1:7" x14ac:dyDescent="0.25">
      <c r="E76" s="3" t="s">
        <v>363</v>
      </c>
      <c r="F76" s="104" t="s">
        <v>347</v>
      </c>
      <c r="G76" s="13"/>
    </row>
    <row r="77" spans="1:7" x14ac:dyDescent="0.25">
      <c r="E77" s="3"/>
      <c r="F77" s="94" t="s">
        <v>1527</v>
      </c>
      <c r="G77" s="13"/>
    </row>
    <row r="78" spans="1:7" x14ac:dyDescent="0.25">
      <c r="E78" s="469" t="s">
        <v>282</v>
      </c>
      <c r="F78" s="94" t="s">
        <v>282</v>
      </c>
      <c r="G78" s="13"/>
    </row>
    <row r="79" spans="1:7" x14ac:dyDescent="0.25">
      <c r="C79" s="469" t="s">
        <v>8</v>
      </c>
      <c r="E79" s="469" t="s">
        <v>8</v>
      </c>
      <c r="F79" s="94" t="s">
        <v>8</v>
      </c>
      <c r="G79" s="13"/>
    </row>
    <row r="80" spans="1:7" x14ac:dyDescent="0.25">
      <c r="A80" s="44" t="s">
        <v>332</v>
      </c>
      <c r="C80" s="3" t="s">
        <v>227</v>
      </c>
      <c r="E80" s="3" t="s">
        <v>279</v>
      </c>
      <c r="F80" s="104" t="s">
        <v>279</v>
      </c>
      <c r="G80" s="104" t="s">
        <v>180</v>
      </c>
    </row>
    <row r="81" spans="1:7" x14ac:dyDescent="0.25">
      <c r="A81" s="469">
        <f>A71+1</f>
        <v>25</v>
      </c>
      <c r="C81" t="s">
        <v>228</v>
      </c>
      <c r="E81" s="940">
        <v>0</v>
      </c>
      <c r="F81" s="940">
        <v>0</v>
      </c>
      <c r="G81" s="442" t="s">
        <v>213</v>
      </c>
    </row>
    <row r="82" spans="1:7" x14ac:dyDescent="0.25">
      <c r="A82" s="469">
        <f t="shared" ref="A82:A86" si="1">A81+1</f>
        <v>26</v>
      </c>
      <c r="C82" t="s">
        <v>229</v>
      </c>
      <c r="E82" s="940">
        <v>0</v>
      </c>
      <c r="F82" s="940">
        <v>0</v>
      </c>
      <c r="G82" s="442" t="s">
        <v>213</v>
      </c>
    </row>
    <row r="83" spans="1:7" x14ac:dyDescent="0.25">
      <c r="A83" s="469">
        <f t="shared" si="1"/>
        <v>27</v>
      </c>
      <c r="C83" s="445" t="s">
        <v>2205</v>
      </c>
      <c r="E83" s="940">
        <v>0</v>
      </c>
      <c r="F83" s="940">
        <v>0</v>
      </c>
      <c r="G83" s="442" t="s">
        <v>213</v>
      </c>
    </row>
    <row r="84" spans="1:7" x14ac:dyDescent="0.25">
      <c r="A84" s="469">
        <f t="shared" si="1"/>
        <v>28</v>
      </c>
      <c r="C84" s="98"/>
      <c r="E84" s="6"/>
      <c r="F84" s="56"/>
      <c r="G84" s="442" t="s">
        <v>213</v>
      </c>
    </row>
    <row r="85" spans="1:7" x14ac:dyDescent="0.25">
      <c r="A85" s="469">
        <f t="shared" si="1"/>
        <v>29</v>
      </c>
      <c r="C85" s="470" t="s">
        <v>510</v>
      </c>
      <c r="E85" s="6"/>
      <c r="F85" s="56"/>
      <c r="G85" s="13"/>
    </row>
    <row r="86" spans="1:7" x14ac:dyDescent="0.25">
      <c r="A86" s="469">
        <f t="shared" si="1"/>
        <v>30</v>
      </c>
      <c r="E86" s="441" t="s">
        <v>4</v>
      </c>
      <c r="F86" s="940">
        <v>0</v>
      </c>
      <c r="G86" s="13"/>
    </row>
    <row r="87" spans="1:7" x14ac:dyDescent="0.25">
      <c r="F87" s="13"/>
      <c r="G87" s="13"/>
    </row>
    <row r="88" spans="1:7" x14ac:dyDescent="0.25">
      <c r="C88" s="1" t="s">
        <v>1528</v>
      </c>
      <c r="F88" s="13"/>
      <c r="G88" s="13"/>
    </row>
    <row r="89" spans="1:7" x14ac:dyDescent="0.25">
      <c r="A89" s="44" t="s">
        <v>332</v>
      </c>
      <c r="F89" s="104" t="s">
        <v>176</v>
      </c>
      <c r="G89" s="104" t="s">
        <v>180</v>
      </c>
    </row>
    <row r="90" spans="1:7" x14ac:dyDescent="0.25">
      <c r="A90" s="469">
        <f>A86+1</f>
        <v>31</v>
      </c>
      <c r="E90" s="441" t="s">
        <v>1529</v>
      </c>
      <c r="F90" s="940">
        <v>0</v>
      </c>
      <c r="G90" s="442" t="str">
        <f>"4-TUTRR, Line "&amp;'4-TUTRR'!A29&amp;""</f>
        <v>4-TUTRR, Line 18</v>
      </c>
    </row>
    <row r="91" spans="1:7" ht="15" x14ac:dyDescent="0.4">
      <c r="A91" s="469">
        <f t="shared" ref="A91:A94" si="2">A90+1</f>
        <v>32</v>
      </c>
      <c r="E91" s="441" t="s">
        <v>1530</v>
      </c>
      <c r="F91" s="941">
        <v>0</v>
      </c>
      <c r="G91" s="442" t="str">
        <f>"4-TUTRR, Line "&amp;'4-TUTRR'!A24&amp;""</f>
        <v>4-TUTRR, Line 14</v>
      </c>
    </row>
    <row r="92" spans="1:7" x14ac:dyDescent="0.25">
      <c r="A92" s="469">
        <f t="shared" si="2"/>
        <v>33</v>
      </c>
      <c r="E92" s="441" t="s">
        <v>1531</v>
      </c>
      <c r="F92" s="940">
        <v>0</v>
      </c>
      <c r="G92" s="96" t="str">
        <f>"Line "&amp;A90&amp;" - Line "&amp;A91&amp;""</f>
        <v>Line 31 - Line 32</v>
      </c>
    </row>
    <row r="93" spans="1:7" x14ac:dyDescent="0.25">
      <c r="A93" s="469">
        <f t="shared" si="2"/>
        <v>34</v>
      </c>
      <c r="E93" s="441" t="s">
        <v>1532</v>
      </c>
      <c r="F93" s="926" t="s">
        <v>2193</v>
      </c>
      <c r="G93" s="442" t="str">
        <f>"1-BaseTRR, Line "&amp;'1-BaseTRR'!A80&amp;""</f>
        <v>1-BaseTRR, Line 47</v>
      </c>
    </row>
    <row r="94" spans="1:7" x14ac:dyDescent="0.25">
      <c r="A94" s="469">
        <f t="shared" si="2"/>
        <v>35</v>
      </c>
      <c r="E94" s="441" t="s">
        <v>1533</v>
      </c>
      <c r="F94" s="940">
        <v>0</v>
      </c>
      <c r="G94" s="96" t="str">
        <f>"Line "&amp;A92&amp;" * Line "&amp;A93&amp;""</f>
        <v>Line 33 * Line 34</v>
      </c>
    </row>
    <row r="95" spans="1:7" x14ac:dyDescent="0.25">
      <c r="F95" s="13"/>
      <c r="G95" s="13"/>
    </row>
    <row r="96" spans="1:7" x14ac:dyDescent="0.25">
      <c r="C96" s="1" t="s">
        <v>1534</v>
      </c>
      <c r="F96" s="13"/>
      <c r="G96" s="13"/>
    </row>
    <row r="97" spans="1:8" x14ac:dyDescent="0.25">
      <c r="A97" s="44" t="s">
        <v>332</v>
      </c>
      <c r="F97" s="13"/>
      <c r="G97" s="13"/>
    </row>
    <row r="98" spans="1:8" x14ac:dyDescent="0.25">
      <c r="A98" s="469">
        <f>A94+1</f>
        <v>36</v>
      </c>
      <c r="E98" s="441" t="s">
        <v>1535</v>
      </c>
      <c r="F98" s="926" t="s">
        <v>2193</v>
      </c>
      <c r="G98" s="96" t="str">
        <f>"Line "&amp;A86&amp;" / Line "&amp;A94&amp;""</f>
        <v>Line 30 / Line 35</v>
      </c>
      <c r="H98" s="13"/>
    </row>
    <row r="99" spans="1:8" x14ac:dyDescent="0.25">
      <c r="A99" s="469">
        <f t="shared" ref="A99:A101" si="3">A98+1</f>
        <v>37</v>
      </c>
      <c r="E99" s="441" t="s">
        <v>1536</v>
      </c>
      <c r="F99" s="13"/>
      <c r="G99" s="13"/>
    </row>
    <row r="100" spans="1:8" x14ac:dyDescent="0.25">
      <c r="A100" s="469">
        <f t="shared" si="3"/>
        <v>38</v>
      </c>
      <c r="E100" s="441" t="s">
        <v>1537</v>
      </c>
      <c r="F100" s="927" t="s">
        <v>2193</v>
      </c>
      <c r="G100" s="442" t="str">
        <f>"1-BaseTRR, Line "&amp;'1-BaseTRR'!A85&amp;""</f>
        <v>1-BaseTRR, Line 50</v>
      </c>
    </row>
    <row r="101" spans="1:8" x14ac:dyDescent="0.25">
      <c r="A101" s="469">
        <f t="shared" si="3"/>
        <v>39</v>
      </c>
      <c r="E101" s="441" t="s">
        <v>1538</v>
      </c>
      <c r="F101" s="926" t="s">
        <v>2193</v>
      </c>
      <c r="G101" s="96" t="str">
        <f>"Line "&amp;A98&amp;" + Line "&amp;A100&amp;""</f>
        <v>Line 36 + Line 38</v>
      </c>
    </row>
    <row r="103" spans="1:8" x14ac:dyDescent="0.25">
      <c r="B103" s="1" t="s">
        <v>382</v>
      </c>
    </row>
    <row r="104" spans="1:8" x14ac:dyDescent="0.25">
      <c r="B104" s="443" t="s">
        <v>533</v>
      </c>
    </row>
    <row r="105" spans="1:8" x14ac:dyDescent="0.25">
      <c r="B105" s="443" t="s">
        <v>534</v>
      </c>
    </row>
    <row r="107" spans="1:8" x14ac:dyDescent="0.25">
      <c r="B107" s="1" t="s">
        <v>233</v>
      </c>
    </row>
    <row r="108" spans="1:8" x14ac:dyDescent="0.25">
      <c r="B108" s="443" t="str">
        <f>"1) Column 1: The True Up Incentive Adder for each Incentive Project equals the IREF on Line "&amp;A17&amp;","</f>
        <v>1) Column 1: The True Up Incentive Adder for each Incentive Project equals the IREF on Line 3,</v>
      </c>
    </row>
    <row r="109" spans="1:8" x14ac:dyDescent="0.25">
      <c r="B109" s="443" t="str">
        <f>"times the applicable Multiplicative Factor on Lines "&amp;A54&amp;" to "&amp;A57&amp;", times the million $ of"</f>
        <v>times the applicable Multiplicative Factor on Lines 15 to 18, times the million $ of</v>
      </c>
    </row>
    <row r="110" spans="1:8" x14ac:dyDescent="0.25">
      <c r="B110" s="443" t="str">
        <f>"TIP Net Plant In Service on Lines "&amp;A68&amp;" to "&amp;A71&amp;"."</f>
        <v>TIP Net Plant In Service on Lines 21 to 24.</v>
      </c>
    </row>
    <row r="111" spans="1:8" x14ac:dyDescent="0.25">
      <c r="B111" s="443" t="s">
        <v>1539</v>
      </c>
    </row>
    <row r="112" spans="1:8" x14ac:dyDescent="0.25">
      <c r="B112" s="443"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13" customWidth="1"/>
    <col min="2" max="2" width="6" style="613" customWidth="1"/>
    <col min="3" max="3" width="15.6640625" style="613" customWidth="1"/>
    <col min="4" max="4" width="9.109375" style="613" customWidth="1"/>
    <col min="5" max="6" width="14.6640625" style="613" customWidth="1"/>
    <col min="7" max="7" width="16" style="613" bestFit="1" customWidth="1"/>
    <col min="8" max="8" width="18.33203125" style="613" customWidth="1"/>
    <col min="9" max="10" width="15.6640625" style="613" customWidth="1"/>
    <col min="11" max="11" width="16.88671875" style="613" customWidth="1"/>
    <col min="12" max="16" width="15.6640625" style="613" customWidth="1"/>
    <col min="17" max="17" width="2.88671875" style="613" customWidth="1"/>
    <col min="18" max="21" width="18.6640625" style="613" customWidth="1"/>
    <col min="22" max="22" width="15.6640625" style="613" customWidth="1"/>
    <col min="23" max="23" width="20.88671875" style="613" bestFit="1" customWidth="1"/>
    <col min="24" max="40" width="15.6640625" style="613" customWidth="1"/>
    <col min="41" max="16384" width="9.109375" style="613"/>
  </cols>
  <sheetData>
    <row r="1" spans="1:40" x14ac:dyDescent="0.25">
      <c r="A1" s="576" t="s">
        <v>1438</v>
      </c>
    </row>
    <row r="2" spans="1:40" x14ac:dyDescent="0.25">
      <c r="F2" s="614" t="s">
        <v>353</v>
      </c>
      <c r="G2" s="614"/>
    </row>
    <row r="3" spans="1:40" x14ac:dyDescent="0.25">
      <c r="B3" s="577" t="s">
        <v>1439</v>
      </c>
    </row>
    <row r="4" spans="1:40" x14ac:dyDescent="0.25">
      <c r="B4" s="577" t="s">
        <v>1975</v>
      </c>
    </row>
    <row r="5" spans="1:40" x14ac:dyDescent="0.25">
      <c r="B5" s="577" t="s">
        <v>1976</v>
      </c>
    </row>
    <row r="6" spans="1:40" x14ac:dyDescent="0.25">
      <c r="B6" s="577"/>
    </row>
    <row r="7" spans="1:40" x14ac:dyDescent="0.25">
      <c r="B7" s="576" t="s">
        <v>1977</v>
      </c>
      <c r="H7" s="577"/>
      <c r="I7" s="577"/>
    </row>
    <row r="8" spans="1:40" x14ac:dyDescent="0.25">
      <c r="B8" s="577"/>
      <c r="E8" s="615" t="s">
        <v>363</v>
      </c>
      <c r="F8" s="615" t="s">
        <v>347</v>
      </c>
      <c r="G8" s="615" t="s">
        <v>348</v>
      </c>
      <c r="H8" s="615" t="s">
        <v>349</v>
      </c>
      <c r="I8" s="615" t="s">
        <v>350</v>
      </c>
      <c r="J8" s="615" t="s">
        <v>351</v>
      </c>
      <c r="K8" s="615" t="s">
        <v>352</v>
      </c>
      <c r="L8" s="615" t="s">
        <v>541</v>
      </c>
      <c r="M8" s="615" t="s">
        <v>955</v>
      </c>
      <c r="N8" s="615" t="s">
        <v>967</v>
      </c>
      <c r="O8" s="615" t="s">
        <v>970</v>
      </c>
      <c r="P8" s="615" t="s">
        <v>988</v>
      </c>
      <c r="T8" s="615"/>
      <c r="U8" s="615"/>
      <c r="X8" s="616"/>
      <c r="Y8" s="616"/>
      <c r="Z8" s="616"/>
      <c r="AA8" s="616"/>
      <c r="AB8" s="616"/>
      <c r="AC8" s="616"/>
      <c r="AD8" s="616"/>
      <c r="AE8" s="616"/>
      <c r="AF8" s="616"/>
      <c r="AG8" s="616"/>
      <c r="AH8" s="616"/>
      <c r="AI8" s="616"/>
      <c r="AJ8" s="616"/>
      <c r="AK8" s="616"/>
      <c r="AL8" s="616"/>
      <c r="AM8" s="616"/>
      <c r="AN8" s="616"/>
    </row>
    <row r="9" spans="1:40" x14ac:dyDescent="0.25">
      <c r="B9" s="577"/>
      <c r="E9" s="617" t="s">
        <v>212</v>
      </c>
      <c r="F9" s="617" t="s">
        <v>212</v>
      </c>
      <c r="G9" s="617" t="s">
        <v>212</v>
      </c>
      <c r="H9" s="617" t="s">
        <v>212</v>
      </c>
      <c r="I9" s="617" t="s">
        <v>212</v>
      </c>
      <c r="J9" s="617" t="s">
        <v>212</v>
      </c>
      <c r="K9" s="617" t="s">
        <v>212</v>
      </c>
      <c r="L9" s="617" t="s">
        <v>212</v>
      </c>
      <c r="M9" s="617" t="s">
        <v>212</v>
      </c>
      <c r="N9" s="617" t="s">
        <v>212</v>
      </c>
      <c r="O9" s="617" t="s">
        <v>212</v>
      </c>
      <c r="P9" s="617" t="s">
        <v>212</v>
      </c>
      <c r="Q9" s="619"/>
    </row>
    <row r="10" spans="1:40" x14ac:dyDescent="0.25">
      <c r="C10" s="620" t="s">
        <v>199</v>
      </c>
      <c r="E10" s="620" t="s">
        <v>1942</v>
      </c>
      <c r="F10" s="620"/>
      <c r="G10" s="620"/>
      <c r="H10" s="621"/>
      <c r="I10" s="621" t="s">
        <v>1927</v>
      </c>
      <c r="J10" s="621"/>
      <c r="K10" s="621"/>
      <c r="L10" s="621"/>
      <c r="M10" s="621"/>
      <c r="O10" s="620" t="s">
        <v>1942</v>
      </c>
      <c r="P10" s="620" t="s">
        <v>1978</v>
      </c>
      <c r="T10" s="621"/>
      <c r="U10" s="621"/>
      <c r="X10" s="621"/>
      <c r="Y10" s="621"/>
      <c r="Z10" s="621"/>
      <c r="AA10" s="621"/>
      <c r="AB10" s="621"/>
      <c r="AC10" s="621"/>
      <c r="AD10" s="621"/>
      <c r="AE10" s="621"/>
      <c r="AF10" s="621"/>
      <c r="AG10" s="621"/>
      <c r="AH10" s="621"/>
      <c r="AI10" s="621"/>
      <c r="AJ10" s="621"/>
      <c r="AK10" s="621"/>
      <c r="AL10" s="621"/>
      <c r="AM10" s="621"/>
      <c r="AN10" s="621"/>
    </row>
    <row r="11" spans="1:40" x14ac:dyDescent="0.25">
      <c r="B11" s="576"/>
      <c r="C11" s="620" t="s">
        <v>200</v>
      </c>
      <c r="E11" s="620" t="s">
        <v>197</v>
      </c>
      <c r="F11" s="620" t="s">
        <v>1944</v>
      </c>
      <c r="G11" s="621" t="s">
        <v>1945</v>
      </c>
      <c r="H11" s="621" t="s">
        <v>1928</v>
      </c>
      <c r="I11" s="621" t="s">
        <v>1979</v>
      </c>
      <c r="J11" s="621"/>
      <c r="K11" s="621" t="s">
        <v>299</v>
      </c>
      <c r="L11" s="621" t="s">
        <v>1086</v>
      </c>
      <c r="M11" s="621" t="s">
        <v>299</v>
      </c>
      <c r="O11" s="621" t="s">
        <v>1625</v>
      </c>
      <c r="P11" s="621" t="s">
        <v>1625</v>
      </c>
      <c r="T11" s="621"/>
      <c r="U11" s="621"/>
      <c r="X11" s="621"/>
      <c r="Y11" s="621"/>
      <c r="Z11" s="621"/>
      <c r="AA11" s="621"/>
      <c r="AB11" s="621"/>
      <c r="AC11" s="621"/>
      <c r="AD11" s="621"/>
      <c r="AE11" s="621"/>
      <c r="AF11" s="621"/>
      <c r="AG11" s="621"/>
      <c r="AH11" s="621"/>
      <c r="AI11" s="621"/>
      <c r="AJ11" s="621"/>
      <c r="AK11" s="621"/>
      <c r="AL11" s="621"/>
      <c r="AM11" s="621"/>
      <c r="AN11" s="621"/>
    </row>
    <row r="12" spans="1:40" x14ac:dyDescent="0.25">
      <c r="A12" s="622" t="s">
        <v>332</v>
      </c>
      <c r="C12" s="605" t="s">
        <v>193</v>
      </c>
      <c r="D12" s="605" t="s">
        <v>194</v>
      </c>
      <c r="E12" s="616" t="s">
        <v>1948</v>
      </c>
      <c r="F12" s="616" t="s">
        <v>1949</v>
      </c>
      <c r="G12" s="623" t="s">
        <v>1950</v>
      </c>
      <c r="H12" s="623" t="s">
        <v>1020</v>
      </c>
      <c r="I12" s="623" t="s">
        <v>1006</v>
      </c>
      <c r="J12" s="623" t="s">
        <v>1927</v>
      </c>
      <c r="K12" s="623" t="s">
        <v>463</v>
      </c>
      <c r="L12" s="623" t="s">
        <v>1933</v>
      </c>
      <c r="M12" s="623" t="s">
        <v>1329</v>
      </c>
      <c r="N12" s="623" t="s">
        <v>998</v>
      </c>
      <c r="O12" s="623" t="s">
        <v>1006</v>
      </c>
      <c r="P12" s="623" t="s">
        <v>1006</v>
      </c>
      <c r="T12" s="623"/>
      <c r="U12" s="623"/>
      <c r="V12" s="623"/>
      <c r="W12" s="623"/>
      <c r="X12" s="623"/>
      <c r="Y12" s="623"/>
      <c r="Z12" s="623"/>
      <c r="AA12" s="623"/>
      <c r="AB12" s="623"/>
      <c r="AC12" s="623"/>
      <c r="AD12" s="623"/>
      <c r="AE12" s="623"/>
      <c r="AF12" s="623"/>
      <c r="AG12" s="623"/>
      <c r="AH12" s="623"/>
      <c r="AI12" s="623"/>
      <c r="AJ12" s="623"/>
      <c r="AK12" s="623"/>
      <c r="AL12" s="623"/>
      <c r="AM12" s="623"/>
      <c r="AN12" s="623"/>
    </row>
    <row r="13" spans="1:40" x14ac:dyDescent="0.25">
      <c r="A13" s="620">
        <v>1</v>
      </c>
      <c r="C13" s="613" t="str">
        <f>C45</f>
        <v>January</v>
      </c>
      <c r="D13" s="934" t="s">
        <v>1388</v>
      </c>
      <c r="E13" s="940">
        <v>0</v>
      </c>
      <c r="F13" s="940">
        <v>0</v>
      </c>
      <c r="G13" s="940">
        <v>0</v>
      </c>
      <c r="H13" s="940">
        <v>0</v>
      </c>
      <c r="I13" s="940">
        <v>0</v>
      </c>
      <c r="J13" s="940">
        <v>0</v>
      </c>
      <c r="K13" s="940">
        <v>0</v>
      </c>
      <c r="L13" s="940">
        <v>0</v>
      </c>
      <c r="M13" s="940">
        <v>0</v>
      </c>
      <c r="N13" s="940">
        <v>0</v>
      </c>
      <c r="O13" s="940">
        <v>0</v>
      </c>
      <c r="P13" s="940">
        <v>0</v>
      </c>
      <c r="T13" s="624"/>
      <c r="U13" s="624"/>
      <c r="V13" s="625"/>
      <c r="W13" s="624"/>
      <c r="X13" s="626"/>
      <c r="Y13" s="455"/>
      <c r="Z13" s="624"/>
      <c r="AA13" s="624"/>
      <c r="AB13" s="624"/>
      <c r="AC13" s="624"/>
      <c r="AD13" s="624"/>
      <c r="AE13" s="624"/>
      <c r="AF13" s="624"/>
      <c r="AG13" s="624"/>
      <c r="AH13" s="624"/>
      <c r="AI13" s="624"/>
      <c r="AJ13" s="624"/>
      <c r="AK13" s="624"/>
      <c r="AL13" s="624"/>
      <c r="AM13" s="624"/>
      <c r="AN13" s="624"/>
    </row>
    <row r="14" spans="1:40" x14ac:dyDescent="0.25">
      <c r="A14" s="620">
        <f>A13+1</f>
        <v>2</v>
      </c>
      <c r="C14" s="613" t="str">
        <f t="shared" ref="C14:C29" si="0">C46</f>
        <v>February</v>
      </c>
      <c r="D14" s="934" t="s">
        <v>1388</v>
      </c>
      <c r="E14" s="940">
        <v>0</v>
      </c>
      <c r="F14" s="940">
        <v>0</v>
      </c>
      <c r="G14" s="940">
        <v>0</v>
      </c>
      <c r="H14" s="940">
        <v>0</v>
      </c>
      <c r="I14" s="940">
        <v>0</v>
      </c>
      <c r="J14" s="940">
        <v>0</v>
      </c>
      <c r="K14" s="940">
        <v>0</v>
      </c>
      <c r="L14" s="940">
        <v>0</v>
      </c>
      <c r="M14" s="940">
        <v>0</v>
      </c>
      <c r="N14" s="940">
        <v>0</v>
      </c>
      <c r="O14" s="940">
        <v>0</v>
      </c>
      <c r="P14" s="940">
        <v>0</v>
      </c>
      <c r="T14" s="624"/>
      <c r="U14" s="624"/>
      <c r="V14" s="625"/>
      <c r="W14" s="624"/>
      <c r="X14" s="626"/>
      <c r="Y14" s="455"/>
      <c r="Z14" s="624"/>
      <c r="AA14" s="624"/>
      <c r="AB14" s="624"/>
      <c r="AC14" s="624"/>
      <c r="AD14" s="624"/>
      <c r="AE14" s="624"/>
      <c r="AF14" s="624"/>
      <c r="AG14" s="624"/>
      <c r="AH14" s="624"/>
      <c r="AI14" s="624"/>
      <c r="AJ14" s="624"/>
      <c r="AK14" s="624"/>
      <c r="AL14" s="624"/>
      <c r="AM14" s="624"/>
      <c r="AN14" s="624"/>
    </row>
    <row r="15" spans="1:40" x14ac:dyDescent="0.25">
      <c r="A15" s="620">
        <f t="shared" ref="A15:A37" si="1">A14+1</f>
        <v>3</v>
      </c>
      <c r="C15" s="613" t="str">
        <f t="shared" si="0"/>
        <v>March</v>
      </c>
      <c r="D15" s="934" t="s">
        <v>1388</v>
      </c>
      <c r="E15" s="940">
        <v>0</v>
      </c>
      <c r="F15" s="940">
        <v>0</v>
      </c>
      <c r="G15" s="940">
        <v>0</v>
      </c>
      <c r="H15" s="940">
        <v>0</v>
      </c>
      <c r="I15" s="940">
        <v>0</v>
      </c>
      <c r="J15" s="940">
        <v>0</v>
      </c>
      <c r="K15" s="940">
        <v>0</v>
      </c>
      <c r="L15" s="940">
        <v>0</v>
      </c>
      <c r="M15" s="940">
        <v>0</v>
      </c>
      <c r="N15" s="940">
        <v>0</v>
      </c>
      <c r="O15" s="940">
        <v>0</v>
      </c>
      <c r="P15" s="940">
        <v>0</v>
      </c>
      <c r="T15" s="624"/>
      <c r="U15" s="624"/>
      <c r="V15" s="625"/>
      <c r="W15" s="624"/>
      <c r="X15" s="626"/>
      <c r="Y15" s="455"/>
      <c r="Z15" s="624"/>
      <c r="AA15" s="624"/>
      <c r="AB15" s="624"/>
      <c r="AC15" s="624"/>
      <c r="AD15" s="624"/>
      <c r="AE15" s="624"/>
      <c r="AF15" s="624"/>
      <c r="AG15" s="624"/>
      <c r="AH15" s="624"/>
      <c r="AI15" s="624"/>
      <c r="AJ15" s="624"/>
      <c r="AK15" s="624"/>
      <c r="AL15" s="624"/>
      <c r="AM15" s="624"/>
      <c r="AN15" s="624"/>
    </row>
    <row r="16" spans="1:40" x14ac:dyDescent="0.25">
      <c r="A16" s="620">
        <f t="shared" si="1"/>
        <v>4</v>
      </c>
      <c r="C16" s="613" t="str">
        <f t="shared" si="0"/>
        <v>April</v>
      </c>
      <c r="D16" s="934" t="s">
        <v>1388</v>
      </c>
      <c r="E16" s="940">
        <v>0</v>
      </c>
      <c r="F16" s="940">
        <v>0</v>
      </c>
      <c r="G16" s="940">
        <v>0</v>
      </c>
      <c r="H16" s="940">
        <v>0</v>
      </c>
      <c r="I16" s="940">
        <v>0</v>
      </c>
      <c r="J16" s="940">
        <v>0</v>
      </c>
      <c r="K16" s="940">
        <v>0</v>
      </c>
      <c r="L16" s="940">
        <v>0</v>
      </c>
      <c r="M16" s="940">
        <v>0</v>
      </c>
      <c r="N16" s="940">
        <v>0</v>
      </c>
      <c r="O16" s="940">
        <v>0</v>
      </c>
      <c r="P16" s="940">
        <v>0</v>
      </c>
      <c r="T16" s="624"/>
      <c r="U16" s="624"/>
      <c r="V16" s="625"/>
      <c r="W16" s="624"/>
      <c r="X16" s="626"/>
      <c r="Y16" s="455"/>
      <c r="Z16" s="624"/>
      <c r="AA16" s="624"/>
      <c r="AB16" s="624"/>
      <c r="AC16" s="624"/>
      <c r="AD16" s="624"/>
      <c r="AE16" s="624"/>
      <c r="AF16" s="624"/>
      <c r="AG16" s="624"/>
      <c r="AH16" s="624"/>
      <c r="AI16" s="624"/>
      <c r="AJ16" s="624"/>
      <c r="AK16" s="624"/>
      <c r="AL16" s="624"/>
      <c r="AM16" s="624"/>
      <c r="AN16" s="624"/>
    </row>
    <row r="17" spans="1:40" x14ac:dyDescent="0.25">
      <c r="A17" s="620">
        <f t="shared" si="1"/>
        <v>5</v>
      </c>
      <c r="C17" s="613" t="str">
        <f t="shared" si="0"/>
        <v>May</v>
      </c>
      <c r="D17" s="934" t="s">
        <v>1388</v>
      </c>
      <c r="E17" s="940">
        <v>0</v>
      </c>
      <c r="F17" s="940">
        <v>0</v>
      </c>
      <c r="G17" s="940">
        <v>0</v>
      </c>
      <c r="H17" s="940">
        <v>0</v>
      </c>
      <c r="I17" s="940">
        <v>0</v>
      </c>
      <c r="J17" s="940">
        <v>0</v>
      </c>
      <c r="K17" s="940">
        <v>0</v>
      </c>
      <c r="L17" s="940">
        <v>0</v>
      </c>
      <c r="M17" s="940">
        <v>0</v>
      </c>
      <c r="N17" s="940">
        <v>0</v>
      </c>
      <c r="O17" s="940">
        <v>0</v>
      </c>
      <c r="P17" s="940">
        <v>0</v>
      </c>
      <c r="T17" s="624"/>
      <c r="U17" s="624"/>
      <c r="V17" s="625"/>
      <c r="W17" s="624"/>
      <c r="X17" s="626"/>
      <c r="Y17" s="455"/>
      <c r="Z17" s="624"/>
      <c r="AA17" s="624"/>
      <c r="AB17" s="624"/>
      <c r="AC17" s="624"/>
      <c r="AD17" s="624"/>
      <c r="AE17" s="624"/>
      <c r="AF17" s="624"/>
      <c r="AG17" s="624"/>
      <c r="AH17" s="624"/>
      <c r="AI17" s="624"/>
      <c r="AJ17" s="624"/>
      <c r="AK17" s="624"/>
      <c r="AL17" s="624"/>
      <c r="AM17" s="624"/>
      <c r="AN17" s="624"/>
    </row>
    <row r="18" spans="1:40" x14ac:dyDescent="0.25">
      <c r="A18" s="620">
        <f t="shared" si="1"/>
        <v>6</v>
      </c>
      <c r="C18" s="613" t="str">
        <f t="shared" si="0"/>
        <v xml:space="preserve">June </v>
      </c>
      <c r="D18" s="934" t="s">
        <v>1388</v>
      </c>
      <c r="E18" s="940">
        <v>0</v>
      </c>
      <c r="F18" s="940">
        <v>0</v>
      </c>
      <c r="G18" s="940">
        <v>0</v>
      </c>
      <c r="H18" s="940">
        <v>0</v>
      </c>
      <c r="I18" s="940">
        <v>0</v>
      </c>
      <c r="J18" s="940">
        <v>0</v>
      </c>
      <c r="K18" s="940">
        <v>0</v>
      </c>
      <c r="L18" s="940">
        <v>0</v>
      </c>
      <c r="M18" s="940">
        <v>0</v>
      </c>
      <c r="N18" s="940">
        <v>0</v>
      </c>
      <c r="O18" s="940">
        <v>0</v>
      </c>
      <c r="P18" s="940">
        <v>0</v>
      </c>
      <c r="T18" s="624"/>
      <c r="U18" s="624"/>
      <c r="V18" s="625"/>
      <c r="W18" s="624"/>
      <c r="X18" s="626"/>
      <c r="Y18" s="455"/>
      <c r="Z18" s="624"/>
      <c r="AA18" s="624"/>
      <c r="AB18" s="624"/>
      <c r="AC18" s="624"/>
      <c r="AD18" s="624"/>
      <c r="AE18" s="624"/>
      <c r="AF18" s="624"/>
      <c r="AG18" s="624"/>
      <c r="AH18" s="624"/>
      <c r="AI18" s="624"/>
      <c r="AJ18" s="624"/>
      <c r="AK18" s="624"/>
      <c r="AL18" s="624"/>
      <c r="AM18" s="624"/>
      <c r="AN18" s="624"/>
    </row>
    <row r="19" spans="1:40" x14ac:dyDescent="0.25">
      <c r="A19" s="620">
        <f t="shared" si="1"/>
        <v>7</v>
      </c>
      <c r="C19" s="613" t="str">
        <f t="shared" si="0"/>
        <v>July</v>
      </c>
      <c r="D19" s="934" t="s">
        <v>1388</v>
      </c>
      <c r="E19" s="940">
        <v>0</v>
      </c>
      <c r="F19" s="940">
        <v>0</v>
      </c>
      <c r="G19" s="940">
        <v>0</v>
      </c>
      <c r="H19" s="940">
        <v>0</v>
      </c>
      <c r="I19" s="940">
        <v>0</v>
      </c>
      <c r="J19" s="940">
        <v>0</v>
      </c>
      <c r="K19" s="940">
        <v>0</v>
      </c>
      <c r="L19" s="940">
        <v>0</v>
      </c>
      <c r="M19" s="940">
        <v>0</v>
      </c>
      <c r="N19" s="940">
        <v>0</v>
      </c>
      <c r="O19" s="940">
        <v>0</v>
      </c>
      <c r="P19" s="940">
        <v>0</v>
      </c>
      <c r="T19" s="624"/>
      <c r="U19" s="624"/>
      <c r="V19" s="625"/>
      <c r="W19" s="624"/>
      <c r="X19" s="626"/>
      <c r="Y19" s="455"/>
      <c r="Z19" s="624"/>
      <c r="AA19" s="624"/>
      <c r="AB19" s="624"/>
      <c r="AC19" s="624"/>
      <c r="AD19" s="624"/>
      <c r="AE19" s="624"/>
      <c r="AF19" s="624"/>
      <c r="AG19" s="624"/>
      <c r="AH19" s="624"/>
      <c r="AI19" s="624"/>
      <c r="AJ19" s="624"/>
      <c r="AK19" s="624"/>
      <c r="AL19" s="624"/>
      <c r="AM19" s="624"/>
      <c r="AN19" s="624"/>
    </row>
    <row r="20" spans="1:40" x14ac:dyDescent="0.25">
      <c r="A20" s="620">
        <f t="shared" si="1"/>
        <v>8</v>
      </c>
      <c r="C20" s="613" t="str">
        <f t="shared" si="0"/>
        <v>August</v>
      </c>
      <c r="D20" s="934" t="s">
        <v>1388</v>
      </c>
      <c r="E20" s="940">
        <v>0</v>
      </c>
      <c r="F20" s="940">
        <v>0</v>
      </c>
      <c r="G20" s="940">
        <v>0</v>
      </c>
      <c r="H20" s="940">
        <v>0</v>
      </c>
      <c r="I20" s="940">
        <v>0</v>
      </c>
      <c r="J20" s="940">
        <v>0</v>
      </c>
      <c r="K20" s="940">
        <v>0</v>
      </c>
      <c r="L20" s="940">
        <v>0</v>
      </c>
      <c r="M20" s="940">
        <v>0</v>
      </c>
      <c r="N20" s="940">
        <v>0</v>
      </c>
      <c r="O20" s="940">
        <v>0</v>
      </c>
      <c r="P20" s="940">
        <v>0</v>
      </c>
      <c r="T20" s="624"/>
      <c r="U20" s="624"/>
      <c r="V20" s="625"/>
      <c r="W20" s="624"/>
      <c r="X20" s="626"/>
      <c r="Y20" s="455"/>
      <c r="Z20" s="624"/>
      <c r="AA20" s="624"/>
      <c r="AB20" s="624"/>
      <c r="AC20" s="624"/>
      <c r="AD20" s="624"/>
      <c r="AE20" s="624"/>
      <c r="AF20" s="624"/>
      <c r="AG20" s="624"/>
      <c r="AH20" s="624"/>
      <c r="AI20" s="624"/>
      <c r="AJ20" s="624"/>
      <c r="AK20" s="624"/>
      <c r="AL20" s="624"/>
      <c r="AM20" s="624"/>
      <c r="AN20" s="624"/>
    </row>
    <row r="21" spans="1:40" x14ac:dyDescent="0.25">
      <c r="A21" s="620">
        <f t="shared" si="1"/>
        <v>9</v>
      </c>
      <c r="C21" s="613" t="str">
        <f t="shared" si="0"/>
        <v>September</v>
      </c>
      <c r="D21" s="934" t="s">
        <v>1388</v>
      </c>
      <c r="E21" s="940">
        <v>0</v>
      </c>
      <c r="F21" s="940">
        <v>0</v>
      </c>
      <c r="G21" s="940">
        <v>0</v>
      </c>
      <c r="H21" s="940">
        <v>0</v>
      </c>
      <c r="I21" s="940">
        <v>0</v>
      </c>
      <c r="J21" s="940">
        <v>0</v>
      </c>
      <c r="K21" s="940">
        <v>0</v>
      </c>
      <c r="L21" s="940">
        <v>0</v>
      </c>
      <c r="M21" s="940">
        <v>0</v>
      </c>
      <c r="N21" s="940">
        <v>0</v>
      </c>
      <c r="O21" s="940">
        <v>0</v>
      </c>
      <c r="P21" s="940">
        <v>0</v>
      </c>
      <c r="T21" s="624"/>
      <c r="U21" s="624"/>
      <c r="V21" s="625"/>
      <c r="W21" s="624"/>
      <c r="X21" s="626"/>
      <c r="Y21" s="455"/>
      <c r="Z21" s="624"/>
      <c r="AA21" s="624"/>
      <c r="AB21" s="624"/>
      <c r="AC21" s="624"/>
      <c r="AD21" s="624"/>
      <c r="AE21" s="624"/>
      <c r="AF21" s="624"/>
      <c r="AG21" s="624"/>
      <c r="AH21" s="624"/>
      <c r="AI21" s="624"/>
      <c r="AJ21" s="624"/>
      <c r="AK21" s="624"/>
      <c r="AL21" s="624"/>
      <c r="AM21" s="624"/>
      <c r="AN21" s="624"/>
    </row>
    <row r="22" spans="1:40" x14ac:dyDescent="0.25">
      <c r="A22" s="620">
        <f t="shared" si="1"/>
        <v>10</v>
      </c>
      <c r="C22" s="613" t="str">
        <f t="shared" si="0"/>
        <v xml:space="preserve">October </v>
      </c>
      <c r="D22" s="934" t="s">
        <v>1388</v>
      </c>
      <c r="E22" s="940">
        <v>0</v>
      </c>
      <c r="F22" s="940">
        <v>0</v>
      </c>
      <c r="G22" s="940">
        <v>0</v>
      </c>
      <c r="H22" s="940">
        <v>0</v>
      </c>
      <c r="I22" s="940">
        <v>0</v>
      </c>
      <c r="J22" s="940">
        <v>0</v>
      </c>
      <c r="K22" s="940">
        <v>0</v>
      </c>
      <c r="L22" s="940">
        <v>0</v>
      </c>
      <c r="M22" s="940">
        <v>0</v>
      </c>
      <c r="N22" s="940">
        <v>0</v>
      </c>
      <c r="O22" s="940">
        <v>0</v>
      </c>
      <c r="P22" s="940">
        <v>0</v>
      </c>
      <c r="T22" s="624"/>
      <c r="U22" s="624"/>
      <c r="V22" s="625"/>
      <c r="W22" s="624"/>
      <c r="X22" s="626"/>
      <c r="Y22" s="455"/>
      <c r="Z22" s="624"/>
      <c r="AA22" s="624"/>
      <c r="AB22" s="624"/>
      <c r="AC22" s="624"/>
      <c r="AD22" s="624"/>
      <c r="AE22" s="624"/>
      <c r="AF22" s="624"/>
      <c r="AG22" s="624"/>
      <c r="AH22" s="624"/>
      <c r="AI22" s="624"/>
      <c r="AJ22" s="624"/>
      <c r="AK22" s="624"/>
      <c r="AL22" s="624"/>
      <c r="AM22" s="624"/>
      <c r="AN22" s="624"/>
    </row>
    <row r="23" spans="1:40" x14ac:dyDescent="0.25">
      <c r="A23" s="620">
        <f t="shared" si="1"/>
        <v>11</v>
      </c>
      <c r="C23" s="613" t="str">
        <f t="shared" si="0"/>
        <v>November</v>
      </c>
      <c r="D23" s="934" t="s">
        <v>1388</v>
      </c>
      <c r="E23" s="940">
        <v>0</v>
      </c>
      <c r="F23" s="940">
        <v>0</v>
      </c>
      <c r="G23" s="940">
        <v>0</v>
      </c>
      <c r="H23" s="940">
        <v>0</v>
      </c>
      <c r="I23" s="940">
        <v>0</v>
      </c>
      <c r="J23" s="940">
        <v>0</v>
      </c>
      <c r="K23" s="940">
        <v>0</v>
      </c>
      <c r="L23" s="940">
        <v>0</v>
      </c>
      <c r="M23" s="940">
        <v>0</v>
      </c>
      <c r="N23" s="940">
        <v>0</v>
      </c>
      <c r="O23" s="940">
        <v>0</v>
      </c>
      <c r="P23" s="940">
        <v>0</v>
      </c>
      <c r="T23" s="624"/>
      <c r="U23" s="624"/>
      <c r="V23" s="625"/>
      <c r="W23" s="624"/>
      <c r="X23" s="626"/>
      <c r="Y23" s="455"/>
      <c r="Z23" s="624"/>
      <c r="AA23" s="624"/>
      <c r="AB23" s="624"/>
      <c r="AC23" s="624"/>
      <c r="AD23" s="624"/>
      <c r="AE23" s="624"/>
      <c r="AF23" s="624"/>
      <c r="AG23" s="624"/>
      <c r="AH23" s="624"/>
      <c r="AI23" s="624"/>
      <c r="AJ23" s="624"/>
      <c r="AK23" s="624"/>
      <c r="AL23" s="624"/>
      <c r="AM23" s="624"/>
      <c r="AN23" s="624"/>
    </row>
    <row r="24" spans="1:40" x14ac:dyDescent="0.25">
      <c r="A24" s="620">
        <f t="shared" si="1"/>
        <v>12</v>
      </c>
      <c r="C24" s="613" t="str">
        <f t="shared" si="0"/>
        <v>December</v>
      </c>
      <c r="D24" s="934" t="s">
        <v>1388</v>
      </c>
      <c r="E24" s="940">
        <v>0</v>
      </c>
      <c r="F24" s="940">
        <v>0</v>
      </c>
      <c r="G24" s="940">
        <v>0</v>
      </c>
      <c r="H24" s="940">
        <v>0</v>
      </c>
      <c r="I24" s="940">
        <v>0</v>
      </c>
      <c r="J24" s="940">
        <v>0</v>
      </c>
      <c r="K24" s="940">
        <v>0</v>
      </c>
      <c r="L24" s="940">
        <v>0</v>
      </c>
      <c r="M24" s="940">
        <v>0</v>
      </c>
      <c r="N24" s="940">
        <v>0</v>
      </c>
      <c r="O24" s="940">
        <v>0</v>
      </c>
      <c r="P24" s="940">
        <v>0</v>
      </c>
      <c r="T24" s="624"/>
      <c r="U24" s="624"/>
      <c r="V24" s="625"/>
      <c r="W24" s="624"/>
      <c r="X24" s="626"/>
      <c r="Y24" s="455"/>
      <c r="Z24" s="624"/>
      <c r="AA24" s="624"/>
      <c r="AB24" s="624"/>
      <c r="AC24" s="624"/>
      <c r="AD24" s="624"/>
      <c r="AE24" s="624"/>
      <c r="AF24" s="624"/>
      <c r="AG24" s="624"/>
      <c r="AH24" s="624"/>
      <c r="AI24" s="624"/>
      <c r="AJ24" s="624"/>
      <c r="AK24" s="624"/>
      <c r="AL24" s="624"/>
      <c r="AM24" s="624"/>
      <c r="AN24" s="624"/>
    </row>
    <row r="25" spans="1:40" x14ac:dyDescent="0.25">
      <c r="A25" s="620">
        <f t="shared" si="1"/>
        <v>13</v>
      </c>
      <c r="C25" s="613" t="str">
        <f t="shared" si="0"/>
        <v>January</v>
      </c>
      <c r="D25" s="934" t="s">
        <v>1388</v>
      </c>
      <c r="E25" s="940">
        <v>0</v>
      </c>
      <c r="F25" s="940">
        <v>0</v>
      </c>
      <c r="G25" s="940">
        <v>0</v>
      </c>
      <c r="H25" s="940">
        <v>0</v>
      </c>
      <c r="I25" s="940">
        <v>0</v>
      </c>
      <c r="J25" s="940">
        <v>0</v>
      </c>
      <c r="K25" s="940">
        <v>0</v>
      </c>
      <c r="L25" s="940">
        <v>0</v>
      </c>
      <c r="M25" s="940">
        <v>0</v>
      </c>
      <c r="N25" s="940">
        <v>0</v>
      </c>
      <c r="O25" s="940">
        <v>0</v>
      </c>
      <c r="P25" s="940">
        <v>0</v>
      </c>
      <c r="T25" s="624"/>
      <c r="U25" s="624"/>
      <c r="V25" s="625"/>
      <c r="W25" s="624"/>
      <c r="X25" s="626"/>
      <c r="Y25" s="455"/>
      <c r="Z25" s="624"/>
      <c r="AA25" s="624"/>
      <c r="AB25" s="624"/>
      <c r="AC25" s="624"/>
      <c r="AD25" s="624"/>
      <c r="AE25" s="624"/>
      <c r="AF25" s="624"/>
      <c r="AG25" s="624"/>
      <c r="AH25" s="624"/>
      <c r="AI25" s="624"/>
      <c r="AJ25" s="624"/>
      <c r="AK25" s="624"/>
      <c r="AL25" s="624"/>
      <c r="AM25" s="624"/>
      <c r="AN25" s="624"/>
    </row>
    <row r="26" spans="1:40" x14ac:dyDescent="0.25">
      <c r="A26" s="620">
        <f t="shared" si="1"/>
        <v>14</v>
      </c>
      <c r="C26" s="613" t="str">
        <f t="shared" si="0"/>
        <v>February</v>
      </c>
      <c r="D26" s="934" t="s">
        <v>1388</v>
      </c>
      <c r="E26" s="940">
        <v>0</v>
      </c>
      <c r="F26" s="940">
        <v>0</v>
      </c>
      <c r="G26" s="940">
        <v>0</v>
      </c>
      <c r="H26" s="940">
        <v>0</v>
      </c>
      <c r="I26" s="940">
        <v>0</v>
      </c>
      <c r="J26" s="940">
        <v>0</v>
      </c>
      <c r="K26" s="940">
        <v>0</v>
      </c>
      <c r="L26" s="940">
        <v>0</v>
      </c>
      <c r="M26" s="940">
        <v>0</v>
      </c>
      <c r="N26" s="940">
        <v>0</v>
      </c>
      <c r="O26" s="940">
        <v>0</v>
      </c>
      <c r="P26" s="940">
        <v>0</v>
      </c>
      <c r="T26" s="624"/>
      <c r="U26" s="624"/>
      <c r="V26" s="625"/>
      <c r="W26" s="624"/>
      <c r="X26" s="626"/>
      <c r="Y26" s="455"/>
      <c r="Z26" s="624"/>
      <c r="AA26" s="624"/>
      <c r="AB26" s="624"/>
      <c r="AC26" s="624"/>
      <c r="AD26" s="624"/>
      <c r="AE26" s="624"/>
      <c r="AF26" s="624"/>
      <c r="AG26" s="624"/>
      <c r="AH26" s="624"/>
      <c r="AI26" s="624"/>
      <c r="AJ26" s="624"/>
      <c r="AK26" s="624"/>
      <c r="AL26" s="624"/>
      <c r="AM26" s="624"/>
      <c r="AN26" s="624"/>
    </row>
    <row r="27" spans="1:40" x14ac:dyDescent="0.25">
      <c r="A27" s="620">
        <f t="shared" si="1"/>
        <v>15</v>
      </c>
      <c r="C27" s="613" t="str">
        <f t="shared" si="0"/>
        <v>March</v>
      </c>
      <c r="D27" s="934" t="s">
        <v>1388</v>
      </c>
      <c r="E27" s="940">
        <v>0</v>
      </c>
      <c r="F27" s="940">
        <v>0</v>
      </c>
      <c r="G27" s="940">
        <v>0</v>
      </c>
      <c r="H27" s="940">
        <v>0</v>
      </c>
      <c r="I27" s="940">
        <v>0</v>
      </c>
      <c r="J27" s="940">
        <v>0</v>
      </c>
      <c r="K27" s="940">
        <v>0</v>
      </c>
      <c r="L27" s="940">
        <v>0</v>
      </c>
      <c r="M27" s="940">
        <v>0</v>
      </c>
      <c r="N27" s="940">
        <v>0</v>
      </c>
      <c r="O27" s="940">
        <v>0</v>
      </c>
      <c r="P27" s="940">
        <v>0</v>
      </c>
      <c r="T27" s="624"/>
      <c r="U27" s="624"/>
      <c r="V27" s="625"/>
      <c r="W27" s="624"/>
      <c r="X27" s="626"/>
      <c r="Y27" s="455"/>
      <c r="Z27" s="624"/>
      <c r="AA27" s="624"/>
      <c r="AB27" s="624"/>
      <c r="AC27" s="624"/>
      <c r="AD27" s="624"/>
      <c r="AE27" s="624"/>
      <c r="AF27" s="624"/>
      <c r="AG27" s="624"/>
      <c r="AH27" s="624"/>
      <c r="AI27" s="624"/>
      <c r="AJ27" s="624"/>
      <c r="AK27" s="624"/>
      <c r="AL27" s="624"/>
      <c r="AM27" s="624"/>
      <c r="AN27" s="624"/>
    </row>
    <row r="28" spans="1:40" x14ac:dyDescent="0.25">
      <c r="A28" s="620">
        <f t="shared" si="1"/>
        <v>16</v>
      </c>
      <c r="C28" s="613" t="str">
        <f t="shared" si="0"/>
        <v>April</v>
      </c>
      <c r="D28" s="934" t="s">
        <v>1388</v>
      </c>
      <c r="E28" s="940">
        <v>0</v>
      </c>
      <c r="F28" s="940">
        <v>0</v>
      </c>
      <c r="G28" s="940">
        <v>0</v>
      </c>
      <c r="H28" s="940">
        <v>0</v>
      </c>
      <c r="I28" s="940">
        <v>0</v>
      </c>
      <c r="J28" s="940">
        <v>0</v>
      </c>
      <c r="K28" s="940">
        <v>0</v>
      </c>
      <c r="L28" s="940">
        <v>0</v>
      </c>
      <c r="M28" s="940">
        <v>0</v>
      </c>
      <c r="N28" s="940">
        <v>0</v>
      </c>
      <c r="O28" s="940">
        <v>0</v>
      </c>
      <c r="P28" s="940">
        <v>0</v>
      </c>
      <c r="T28" s="624"/>
      <c r="U28" s="624"/>
      <c r="V28" s="625"/>
      <c r="W28" s="624"/>
      <c r="X28" s="626"/>
      <c r="Y28" s="455"/>
      <c r="Z28" s="624"/>
      <c r="AA28" s="624"/>
      <c r="AB28" s="624"/>
      <c r="AC28" s="624"/>
      <c r="AD28" s="624"/>
      <c r="AE28" s="624"/>
      <c r="AF28" s="624"/>
      <c r="AG28" s="624"/>
      <c r="AH28" s="624"/>
      <c r="AI28" s="624"/>
      <c r="AJ28" s="624"/>
      <c r="AK28" s="624"/>
      <c r="AL28" s="624"/>
      <c r="AM28" s="624"/>
      <c r="AN28" s="624"/>
    </row>
    <row r="29" spans="1:40" x14ac:dyDescent="0.25">
      <c r="A29" s="620">
        <f t="shared" si="1"/>
        <v>17</v>
      </c>
      <c r="C29" s="613" t="str">
        <f t="shared" si="0"/>
        <v>May</v>
      </c>
      <c r="D29" s="934" t="s">
        <v>1388</v>
      </c>
      <c r="E29" s="940">
        <v>0</v>
      </c>
      <c r="F29" s="940">
        <v>0</v>
      </c>
      <c r="G29" s="940">
        <v>0</v>
      </c>
      <c r="H29" s="940">
        <v>0</v>
      </c>
      <c r="I29" s="940">
        <v>0</v>
      </c>
      <c r="J29" s="940">
        <v>0</v>
      </c>
      <c r="K29" s="940">
        <v>0</v>
      </c>
      <c r="L29" s="940">
        <v>0</v>
      </c>
      <c r="M29" s="940">
        <v>0</v>
      </c>
      <c r="N29" s="940">
        <v>0</v>
      </c>
      <c r="O29" s="940">
        <v>0</v>
      </c>
      <c r="P29" s="940">
        <v>0</v>
      </c>
      <c r="T29" s="624"/>
      <c r="U29" s="624"/>
      <c r="V29" s="625"/>
      <c r="W29" s="624"/>
      <c r="X29" s="626"/>
      <c r="Y29" s="455"/>
      <c r="Z29" s="624"/>
      <c r="AA29" s="624"/>
      <c r="AB29" s="624"/>
      <c r="AC29" s="624"/>
      <c r="AD29" s="624"/>
      <c r="AE29" s="624"/>
      <c r="AF29" s="624"/>
      <c r="AG29" s="624"/>
      <c r="AH29" s="624"/>
      <c r="AI29" s="624"/>
      <c r="AJ29" s="624"/>
      <c r="AK29" s="624"/>
      <c r="AL29" s="624"/>
      <c r="AM29" s="624"/>
      <c r="AN29" s="624"/>
    </row>
    <row r="30" spans="1:40" x14ac:dyDescent="0.25">
      <c r="A30" s="620">
        <f t="shared" si="1"/>
        <v>18</v>
      </c>
      <c r="C30" s="613" t="str">
        <f t="shared" ref="C30:C33" si="2">C62</f>
        <v xml:space="preserve">June </v>
      </c>
      <c r="D30" s="934" t="s">
        <v>1388</v>
      </c>
      <c r="E30" s="940">
        <v>0</v>
      </c>
      <c r="F30" s="940">
        <v>0</v>
      </c>
      <c r="G30" s="940">
        <v>0</v>
      </c>
      <c r="H30" s="940">
        <v>0</v>
      </c>
      <c r="I30" s="940">
        <v>0</v>
      </c>
      <c r="J30" s="940">
        <v>0</v>
      </c>
      <c r="K30" s="940">
        <v>0</v>
      </c>
      <c r="L30" s="940">
        <v>0</v>
      </c>
      <c r="M30" s="940">
        <v>0</v>
      </c>
      <c r="N30" s="940">
        <v>0</v>
      </c>
      <c r="O30" s="940">
        <v>0</v>
      </c>
      <c r="P30" s="940">
        <v>0</v>
      </c>
      <c r="T30" s="624"/>
      <c r="U30" s="624"/>
      <c r="V30" s="625"/>
      <c r="W30" s="624"/>
      <c r="X30" s="626"/>
      <c r="Y30" s="455"/>
      <c r="Z30" s="624"/>
      <c r="AA30" s="624"/>
      <c r="AB30" s="624"/>
      <c r="AC30" s="624"/>
      <c r="AD30" s="624"/>
      <c r="AE30" s="624"/>
      <c r="AF30" s="624"/>
      <c r="AG30" s="624"/>
      <c r="AH30" s="624"/>
      <c r="AI30" s="624"/>
      <c r="AJ30" s="624"/>
      <c r="AK30" s="624"/>
      <c r="AL30" s="624"/>
      <c r="AM30" s="624"/>
      <c r="AN30" s="624"/>
    </row>
    <row r="31" spans="1:40" x14ac:dyDescent="0.25">
      <c r="A31" s="620">
        <f t="shared" si="1"/>
        <v>19</v>
      </c>
      <c r="C31" s="613" t="str">
        <f t="shared" si="2"/>
        <v>July</v>
      </c>
      <c r="D31" s="934" t="s">
        <v>1388</v>
      </c>
      <c r="E31" s="940">
        <v>0</v>
      </c>
      <c r="F31" s="940">
        <v>0</v>
      </c>
      <c r="G31" s="940">
        <v>0</v>
      </c>
      <c r="H31" s="940">
        <v>0</v>
      </c>
      <c r="I31" s="940">
        <v>0</v>
      </c>
      <c r="J31" s="940">
        <v>0</v>
      </c>
      <c r="K31" s="940">
        <v>0</v>
      </c>
      <c r="L31" s="940">
        <v>0</v>
      </c>
      <c r="M31" s="940">
        <v>0</v>
      </c>
      <c r="N31" s="940">
        <v>0</v>
      </c>
      <c r="O31" s="940">
        <v>0</v>
      </c>
      <c r="P31" s="940">
        <v>0</v>
      </c>
      <c r="T31" s="624"/>
      <c r="U31" s="624"/>
      <c r="V31" s="625"/>
      <c r="W31" s="624"/>
      <c r="X31" s="626"/>
      <c r="Y31" s="455"/>
      <c r="Z31" s="624"/>
      <c r="AA31" s="624"/>
      <c r="AB31" s="624"/>
      <c r="AC31" s="624"/>
      <c r="AD31" s="624"/>
      <c r="AE31" s="624"/>
      <c r="AF31" s="624"/>
      <c r="AG31" s="624"/>
      <c r="AH31" s="624"/>
      <c r="AI31" s="624"/>
      <c r="AJ31" s="624"/>
      <c r="AK31" s="624"/>
      <c r="AL31" s="624"/>
      <c r="AM31" s="624"/>
      <c r="AN31" s="624"/>
    </row>
    <row r="32" spans="1:40" x14ac:dyDescent="0.25">
      <c r="A32" s="620">
        <f t="shared" si="1"/>
        <v>20</v>
      </c>
      <c r="C32" s="613" t="str">
        <f t="shared" si="2"/>
        <v>August</v>
      </c>
      <c r="D32" s="934" t="s">
        <v>1388</v>
      </c>
      <c r="E32" s="940">
        <v>0</v>
      </c>
      <c r="F32" s="940">
        <v>0</v>
      </c>
      <c r="G32" s="940">
        <v>0</v>
      </c>
      <c r="H32" s="940">
        <v>0</v>
      </c>
      <c r="I32" s="940">
        <v>0</v>
      </c>
      <c r="J32" s="940">
        <v>0</v>
      </c>
      <c r="K32" s="940">
        <v>0</v>
      </c>
      <c r="L32" s="940">
        <v>0</v>
      </c>
      <c r="M32" s="940">
        <v>0</v>
      </c>
      <c r="N32" s="940">
        <v>0</v>
      </c>
      <c r="O32" s="940">
        <v>0</v>
      </c>
      <c r="P32" s="940">
        <v>0</v>
      </c>
      <c r="T32" s="624"/>
      <c r="U32" s="624"/>
      <c r="V32" s="625"/>
      <c r="W32" s="624"/>
      <c r="X32" s="626"/>
      <c r="Y32" s="455"/>
      <c r="Z32" s="624"/>
      <c r="AA32" s="624"/>
      <c r="AB32" s="624"/>
      <c r="AC32" s="624"/>
      <c r="AD32" s="624"/>
      <c r="AE32" s="624"/>
      <c r="AF32" s="624"/>
      <c r="AG32" s="624"/>
      <c r="AH32" s="624"/>
      <c r="AI32" s="624"/>
      <c r="AJ32" s="624"/>
      <c r="AK32" s="624"/>
      <c r="AL32" s="624"/>
      <c r="AM32" s="624"/>
      <c r="AN32" s="624"/>
    </row>
    <row r="33" spans="1:40" x14ac:dyDescent="0.25">
      <c r="A33" s="620">
        <f t="shared" si="1"/>
        <v>21</v>
      </c>
      <c r="C33" s="613" t="str">
        <f t="shared" si="2"/>
        <v>September</v>
      </c>
      <c r="D33" s="934" t="s">
        <v>1388</v>
      </c>
      <c r="E33" s="940">
        <v>0</v>
      </c>
      <c r="F33" s="940">
        <v>0</v>
      </c>
      <c r="G33" s="940">
        <v>0</v>
      </c>
      <c r="H33" s="940">
        <v>0</v>
      </c>
      <c r="I33" s="940">
        <v>0</v>
      </c>
      <c r="J33" s="940">
        <v>0</v>
      </c>
      <c r="K33" s="940">
        <v>0</v>
      </c>
      <c r="L33" s="940">
        <v>0</v>
      </c>
      <c r="M33" s="940">
        <v>0</v>
      </c>
      <c r="N33" s="940">
        <v>0</v>
      </c>
      <c r="O33" s="940">
        <v>0</v>
      </c>
      <c r="P33" s="940">
        <v>0</v>
      </c>
      <c r="T33" s="624"/>
      <c r="U33" s="624"/>
      <c r="V33" s="625"/>
      <c r="W33" s="624"/>
      <c r="X33" s="626"/>
      <c r="Y33" s="455"/>
      <c r="Z33" s="624"/>
      <c r="AA33" s="624"/>
      <c r="AB33" s="624"/>
      <c r="AC33" s="624"/>
      <c r="AD33" s="624"/>
      <c r="AE33" s="624"/>
      <c r="AF33" s="624"/>
      <c r="AG33" s="624"/>
      <c r="AH33" s="624"/>
      <c r="AI33" s="624"/>
      <c r="AJ33" s="624"/>
      <c r="AK33" s="624"/>
      <c r="AL33" s="624"/>
      <c r="AM33" s="624"/>
      <c r="AN33" s="624"/>
    </row>
    <row r="34" spans="1:40" x14ac:dyDescent="0.25">
      <c r="A34" s="621">
        <f t="shared" si="1"/>
        <v>22</v>
      </c>
      <c r="C34" s="613" t="str">
        <f t="shared" ref="C34" si="3">C66</f>
        <v>October</v>
      </c>
      <c r="D34" s="934" t="s">
        <v>1388</v>
      </c>
      <c r="E34" s="940">
        <v>0</v>
      </c>
      <c r="F34" s="940">
        <v>0</v>
      </c>
      <c r="G34" s="940">
        <v>0</v>
      </c>
      <c r="H34" s="940">
        <v>0</v>
      </c>
      <c r="I34" s="940">
        <v>0</v>
      </c>
      <c r="J34" s="940">
        <v>0</v>
      </c>
      <c r="K34" s="940">
        <v>0</v>
      </c>
      <c r="L34" s="940">
        <v>0</v>
      </c>
      <c r="M34" s="940">
        <v>0</v>
      </c>
      <c r="N34" s="940">
        <v>0</v>
      </c>
      <c r="O34" s="940">
        <v>0</v>
      </c>
      <c r="P34" s="940">
        <v>0</v>
      </c>
      <c r="T34" s="624"/>
      <c r="U34" s="624"/>
      <c r="V34" s="625"/>
      <c r="W34" s="624"/>
      <c r="X34" s="626"/>
      <c r="Y34" s="455"/>
      <c r="Z34" s="624"/>
      <c r="AA34" s="624"/>
      <c r="AB34" s="624"/>
      <c r="AC34" s="624"/>
      <c r="AD34" s="624"/>
      <c r="AE34" s="624"/>
      <c r="AF34" s="624"/>
      <c r="AG34" s="624"/>
      <c r="AH34" s="624"/>
      <c r="AI34" s="624"/>
      <c r="AJ34" s="624"/>
      <c r="AK34" s="624"/>
      <c r="AL34" s="624"/>
      <c r="AM34" s="624"/>
      <c r="AN34" s="624"/>
    </row>
    <row r="35" spans="1:40" x14ac:dyDescent="0.25">
      <c r="A35" s="621">
        <f t="shared" si="1"/>
        <v>23</v>
      </c>
      <c r="C35" s="613" t="str">
        <f t="shared" ref="C35" si="4">C67</f>
        <v>November</v>
      </c>
      <c r="D35" s="934" t="s">
        <v>1388</v>
      </c>
      <c r="E35" s="940">
        <v>0</v>
      </c>
      <c r="F35" s="940">
        <v>0</v>
      </c>
      <c r="G35" s="940">
        <v>0</v>
      </c>
      <c r="H35" s="940">
        <v>0</v>
      </c>
      <c r="I35" s="940">
        <v>0</v>
      </c>
      <c r="J35" s="940">
        <v>0</v>
      </c>
      <c r="K35" s="940">
        <v>0</v>
      </c>
      <c r="L35" s="940">
        <v>0</v>
      </c>
      <c r="M35" s="940">
        <v>0</v>
      </c>
      <c r="N35" s="940">
        <v>0</v>
      </c>
      <c r="O35" s="940">
        <v>0</v>
      </c>
      <c r="P35" s="940">
        <v>0</v>
      </c>
      <c r="T35" s="624"/>
      <c r="U35" s="624"/>
      <c r="V35" s="625"/>
      <c r="W35" s="624"/>
      <c r="X35" s="626"/>
      <c r="Y35" s="455"/>
      <c r="Z35" s="624"/>
      <c r="AA35" s="624"/>
      <c r="AB35" s="624"/>
      <c r="AC35" s="624"/>
      <c r="AD35" s="624"/>
      <c r="AE35" s="624"/>
      <c r="AF35" s="624"/>
      <c r="AG35" s="624"/>
      <c r="AH35" s="624"/>
      <c r="AI35" s="624"/>
      <c r="AJ35" s="624"/>
      <c r="AK35" s="624"/>
      <c r="AL35" s="624"/>
      <c r="AM35" s="624"/>
      <c r="AN35" s="624"/>
    </row>
    <row r="36" spans="1:40" ht="15" x14ac:dyDescent="0.4">
      <c r="A36" s="621">
        <f t="shared" si="1"/>
        <v>24</v>
      </c>
      <c r="C36" s="613" t="str">
        <f t="shared" ref="C36" si="5">C68</f>
        <v>December</v>
      </c>
      <c r="D36" s="934" t="s">
        <v>1388</v>
      </c>
      <c r="E36" s="940">
        <v>0</v>
      </c>
      <c r="F36" s="940">
        <v>0</v>
      </c>
      <c r="G36" s="940">
        <v>0</v>
      </c>
      <c r="H36" s="940">
        <v>0</v>
      </c>
      <c r="I36" s="940">
        <v>0</v>
      </c>
      <c r="J36" s="940">
        <v>0</v>
      </c>
      <c r="K36" s="941">
        <v>0</v>
      </c>
      <c r="L36" s="940">
        <v>0</v>
      </c>
      <c r="M36" s="940">
        <v>0</v>
      </c>
      <c r="N36" s="941">
        <v>0</v>
      </c>
      <c r="O36" s="940">
        <v>0</v>
      </c>
      <c r="P36" s="941">
        <v>0</v>
      </c>
      <c r="T36" s="624"/>
      <c r="U36" s="624"/>
      <c r="V36" s="625"/>
      <c r="W36" s="624"/>
      <c r="X36" s="626"/>
      <c r="Y36" s="455"/>
      <c r="Z36" s="624"/>
      <c r="AA36" s="624"/>
      <c r="AB36" s="624"/>
      <c r="AC36" s="624"/>
      <c r="AD36" s="624"/>
      <c r="AE36" s="624"/>
      <c r="AF36" s="624"/>
      <c r="AG36" s="624"/>
      <c r="AH36" s="624"/>
      <c r="AI36" s="624"/>
      <c r="AJ36" s="624"/>
      <c r="AK36" s="624"/>
      <c r="AL36" s="624"/>
      <c r="AM36" s="624"/>
      <c r="AN36" s="624"/>
    </row>
    <row r="37" spans="1:40" s="576" customFormat="1" x14ac:dyDescent="0.25">
      <c r="A37" s="621">
        <f t="shared" si="1"/>
        <v>25</v>
      </c>
      <c r="D37" s="654" t="s">
        <v>1626</v>
      </c>
      <c r="K37" s="940">
        <v>0</v>
      </c>
      <c r="M37" s="655"/>
      <c r="N37" s="940">
        <v>0</v>
      </c>
      <c r="O37" s="655"/>
      <c r="P37" s="940">
        <v>0</v>
      </c>
      <c r="Q37" s="656"/>
      <c r="T37" s="635"/>
      <c r="U37" s="635"/>
    </row>
    <row r="38" spans="1:40" x14ac:dyDescent="0.25">
      <c r="A38" s="620"/>
      <c r="T38" s="574"/>
      <c r="U38" s="574"/>
      <c r="Z38" s="574"/>
    </row>
    <row r="39" spans="1:40" x14ac:dyDescent="0.25">
      <c r="A39" s="620"/>
      <c r="B39" s="576" t="s">
        <v>1980</v>
      </c>
      <c r="G39" s="620"/>
      <c r="K39" s="455"/>
      <c r="M39" s="455"/>
      <c r="N39" s="455"/>
      <c r="O39" s="455"/>
      <c r="P39" s="455"/>
    </row>
    <row r="40" spans="1:40" x14ac:dyDescent="0.25">
      <c r="A40" s="620"/>
      <c r="B40" s="576"/>
      <c r="E40" s="616" t="s">
        <v>363</v>
      </c>
      <c r="F40" s="616" t="s">
        <v>347</v>
      </c>
      <c r="G40" s="616" t="s">
        <v>348</v>
      </c>
      <c r="H40" s="616" t="s">
        <v>349</v>
      </c>
      <c r="I40" s="616" t="s">
        <v>350</v>
      </c>
      <c r="J40" s="616" t="s">
        <v>351</v>
      </c>
      <c r="K40" s="657" t="s">
        <v>352</v>
      </c>
      <c r="L40" s="616" t="s">
        <v>541</v>
      </c>
      <c r="M40" s="657" t="s">
        <v>955</v>
      </c>
      <c r="N40" s="657" t="s">
        <v>967</v>
      </c>
      <c r="O40" s="657" t="s">
        <v>970</v>
      </c>
      <c r="P40" s="657" t="s">
        <v>988</v>
      </c>
    </row>
    <row r="41" spans="1:40" ht="26.4" x14ac:dyDescent="0.25">
      <c r="A41" s="620"/>
      <c r="B41" s="576"/>
      <c r="E41" s="658" t="s">
        <v>2096</v>
      </c>
      <c r="F41" s="658" t="s">
        <v>2097</v>
      </c>
      <c r="G41" s="658" t="s">
        <v>2098</v>
      </c>
      <c r="H41" s="659" t="s">
        <v>1981</v>
      </c>
      <c r="I41" s="659" t="s">
        <v>1981</v>
      </c>
      <c r="J41" s="619" t="s">
        <v>1981</v>
      </c>
      <c r="K41" s="660" t="s">
        <v>1982</v>
      </c>
      <c r="L41" s="661" t="s">
        <v>2099</v>
      </c>
      <c r="M41" s="662" t="s">
        <v>2517</v>
      </c>
      <c r="N41" s="631" t="s">
        <v>1924</v>
      </c>
      <c r="O41" s="631"/>
      <c r="P41" s="662" t="s">
        <v>2100</v>
      </c>
    </row>
    <row r="42" spans="1:40" x14ac:dyDescent="0.25">
      <c r="A42" s="620"/>
      <c r="C42" s="620" t="str">
        <f>C10</f>
        <v>Forecast</v>
      </c>
      <c r="E42" s="620" t="str">
        <f>E10</f>
        <v>Unloaded</v>
      </c>
      <c r="F42" s="620"/>
      <c r="G42" s="620"/>
      <c r="I42" s="621" t="str">
        <f>I10</f>
        <v>AFUDC</v>
      </c>
      <c r="J42" s="621"/>
      <c r="K42" s="621"/>
      <c r="L42" s="621"/>
      <c r="M42" s="621"/>
      <c r="N42" s="621"/>
      <c r="O42" s="620" t="str">
        <f t="shared" ref="O42:P44" si="6">O10</f>
        <v>Unloaded</v>
      </c>
      <c r="P42" s="620" t="str">
        <f t="shared" si="6"/>
        <v>Loaded</v>
      </c>
    </row>
    <row r="43" spans="1:40" x14ac:dyDescent="0.25">
      <c r="A43" s="620"/>
      <c r="B43" s="576"/>
      <c r="C43" s="620" t="str">
        <f>C11</f>
        <v>Period</v>
      </c>
      <c r="E43" s="620" t="str">
        <f>E11</f>
        <v>Total</v>
      </c>
      <c r="F43" s="620" t="str">
        <f t="shared" ref="F43:H44" si="7">F11</f>
        <v>Prior Period</v>
      </c>
      <c r="G43" s="621" t="str">
        <f t="shared" si="7"/>
        <v>Over Heads</v>
      </c>
      <c r="H43" s="621" t="str">
        <f t="shared" si="7"/>
        <v xml:space="preserve">Cost of </v>
      </c>
      <c r="I43" s="621" t="str">
        <f>I11</f>
        <v>Eligible Plant</v>
      </c>
      <c r="J43" s="621"/>
      <c r="K43" s="621" t="str">
        <f>K11</f>
        <v>Incremental</v>
      </c>
      <c r="L43" s="621" t="str">
        <f>L11</f>
        <v>Depreciation</v>
      </c>
      <c r="M43" s="621"/>
      <c r="N43" s="621"/>
      <c r="O43" s="621" t="str">
        <f t="shared" si="6"/>
        <v>Low Voltage</v>
      </c>
      <c r="P43" s="621" t="str">
        <f t="shared" si="6"/>
        <v>Low Voltage</v>
      </c>
    </row>
    <row r="44" spans="1:40" x14ac:dyDescent="0.25">
      <c r="A44" s="622" t="s">
        <v>332</v>
      </c>
      <c r="C44" s="605" t="str">
        <f t="shared" ref="C44:D44" si="8">C12</f>
        <v>Month</v>
      </c>
      <c r="D44" s="605" t="str">
        <f t="shared" si="8"/>
        <v>Year</v>
      </c>
      <c r="E44" s="616" t="str">
        <f>E12</f>
        <v>Plant Adds</v>
      </c>
      <c r="F44" s="616" t="str">
        <f t="shared" si="7"/>
        <v>CWIP Closed</v>
      </c>
      <c r="G44" s="623" t="str">
        <f t="shared" si="7"/>
        <v>Closed to PIS</v>
      </c>
      <c r="H44" s="623" t="str">
        <f t="shared" si="7"/>
        <v>Removal</v>
      </c>
      <c r="I44" s="623" t="str">
        <f>I12</f>
        <v>Additions</v>
      </c>
      <c r="J44" s="623" t="str">
        <f>J12</f>
        <v>AFUDC</v>
      </c>
      <c r="K44" s="623" t="str">
        <f>K12</f>
        <v>Gross Plant</v>
      </c>
      <c r="L44" s="623" t="str">
        <f>L12</f>
        <v>Accrual</v>
      </c>
      <c r="M44" s="623" t="str">
        <f>M12</f>
        <v>Reserve</v>
      </c>
      <c r="N44" s="623" t="str">
        <f>N12</f>
        <v>Net Plant</v>
      </c>
      <c r="O44" s="623" t="str">
        <f t="shared" si="6"/>
        <v>Additions</v>
      </c>
      <c r="P44" s="623" t="str">
        <f t="shared" si="6"/>
        <v>Additions</v>
      </c>
      <c r="T44" s="623"/>
      <c r="U44" s="623"/>
      <c r="V44" s="623"/>
      <c r="W44" s="623"/>
      <c r="X44" s="623"/>
      <c r="Y44" s="623"/>
    </row>
    <row r="45" spans="1:40" x14ac:dyDescent="0.25">
      <c r="A45" s="620">
        <f>A37+1</f>
        <v>26</v>
      </c>
      <c r="C45" s="606" t="s">
        <v>182</v>
      </c>
      <c r="D45" s="934" t="s">
        <v>1388</v>
      </c>
      <c r="E45" s="940">
        <v>0</v>
      </c>
      <c r="F45" s="940">
        <v>0</v>
      </c>
      <c r="G45" s="940">
        <v>0</v>
      </c>
      <c r="H45" s="663">
        <v>0</v>
      </c>
      <c r="I45" s="624">
        <v>0</v>
      </c>
      <c r="J45" s="664">
        <v>0</v>
      </c>
      <c r="K45" s="940">
        <v>0</v>
      </c>
      <c r="L45" s="940">
        <v>0</v>
      </c>
      <c r="M45" s="940">
        <v>0</v>
      </c>
      <c r="N45" s="940">
        <v>0</v>
      </c>
      <c r="O45" s="932">
        <v>0</v>
      </c>
      <c r="P45" s="940">
        <v>0</v>
      </c>
      <c r="S45" s="574"/>
      <c r="T45" s="629"/>
      <c r="U45" s="626"/>
      <c r="V45" s="455"/>
      <c r="W45" s="629"/>
      <c r="X45" s="626"/>
      <c r="Y45" s="455"/>
    </row>
    <row r="46" spans="1:40" x14ac:dyDescent="0.25">
      <c r="A46" s="620">
        <f t="shared" ref="A46:A99" si="9">A45+1</f>
        <v>27</v>
      </c>
      <c r="C46" s="608" t="s">
        <v>183</v>
      </c>
      <c r="D46" s="934" t="s">
        <v>1388</v>
      </c>
      <c r="E46" s="940">
        <v>0</v>
      </c>
      <c r="F46" s="940">
        <v>0</v>
      </c>
      <c r="G46" s="940">
        <v>0</v>
      </c>
      <c r="H46" s="663">
        <v>0</v>
      </c>
      <c r="I46" s="624">
        <v>0</v>
      </c>
      <c r="J46" s="664">
        <v>0</v>
      </c>
      <c r="K46" s="940">
        <v>0</v>
      </c>
      <c r="L46" s="940">
        <v>0</v>
      </c>
      <c r="M46" s="940">
        <v>0</v>
      </c>
      <c r="N46" s="940">
        <v>0</v>
      </c>
      <c r="O46" s="932">
        <v>0</v>
      </c>
      <c r="P46" s="940">
        <v>0</v>
      </c>
      <c r="S46" s="574"/>
      <c r="T46" s="629"/>
      <c r="U46" s="626"/>
      <c r="V46" s="455"/>
      <c r="W46" s="629"/>
      <c r="X46" s="626"/>
      <c r="Y46" s="455"/>
    </row>
    <row r="47" spans="1:40" x14ac:dyDescent="0.25">
      <c r="A47" s="620">
        <f t="shared" si="9"/>
        <v>28</v>
      </c>
      <c r="C47" s="608" t="s">
        <v>196</v>
      </c>
      <c r="D47" s="934" t="s">
        <v>1388</v>
      </c>
      <c r="E47" s="940">
        <v>0</v>
      </c>
      <c r="F47" s="940">
        <v>0</v>
      </c>
      <c r="G47" s="940">
        <v>0</v>
      </c>
      <c r="H47" s="663">
        <v>0</v>
      </c>
      <c r="I47" s="624">
        <v>0</v>
      </c>
      <c r="J47" s="664">
        <v>0</v>
      </c>
      <c r="K47" s="940">
        <v>0</v>
      </c>
      <c r="L47" s="940">
        <v>0</v>
      </c>
      <c r="M47" s="940">
        <v>0</v>
      </c>
      <c r="N47" s="940">
        <v>0</v>
      </c>
      <c r="O47" s="932">
        <v>0</v>
      </c>
      <c r="P47" s="940">
        <v>0</v>
      </c>
      <c r="S47" s="574"/>
      <c r="T47" s="629"/>
      <c r="U47" s="626"/>
      <c r="V47" s="455"/>
      <c r="W47" s="629"/>
      <c r="X47" s="626"/>
      <c r="Y47" s="455"/>
    </row>
    <row r="48" spans="1:40" x14ac:dyDescent="0.25">
      <c r="A48" s="620">
        <f t="shared" si="9"/>
        <v>29</v>
      </c>
      <c r="C48" s="606" t="s">
        <v>184</v>
      </c>
      <c r="D48" s="934" t="s">
        <v>1388</v>
      </c>
      <c r="E48" s="940">
        <v>0</v>
      </c>
      <c r="F48" s="940">
        <v>0</v>
      </c>
      <c r="G48" s="940">
        <v>0</v>
      </c>
      <c r="H48" s="663">
        <v>0</v>
      </c>
      <c r="I48" s="624">
        <v>0</v>
      </c>
      <c r="J48" s="664">
        <v>0</v>
      </c>
      <c r="K48" s="940">
        <v>0</v>
      </c>
      <c r="L48" s="940">
        <v>0</v>
      </c>
      <c r="M48" s="940">
        <v>0</v>
      </c>
      <c r="N48" s="940">
        <v>0</v>
      </c>
      <c r="O48" s="932">
        <v>0</v>
      </c>
      <c r="P48" s="940">
        <v>0</v>
      </c>
      <c r="S48" s="574"/>
      <c r="T48" s="629"/>
      <c r="U48" s="626"/>
      <c r="V48" s="455"/>
      <c r="W48" s="629"/>
      <c r="X48" s="626"/>
      <c r="Y48" s="455"/>
    </row>
    <row r="49" spans="1:25" x14ac:dyDescent="0.25">
      <c r="A49" s="620">
        <f t="shared" si="9"/>
        <v>30</v>
      </c>
      <c r="C49" s="608" t="s">
        <v>185</v>
      </c>
      <c r="D49" s="934" t="s">
        <v>1388</v>
      </c>
      <c r="E49" s="940">
        <v>0</v>
      </c>
      <c r="F49" s="940">
        <v>0</v>
      </c>
      <c r="G49" s="940">
        <v>0</v>
      </c>
      <c r="H49" s="663">
        <v>0</v>
      </c>
      <c r="I49" s="624">
        <v>0</v>
      </c>
      <c r="J49" s="664">
        <v>0</v>
      </c>
      <c r="K49" s="940">
        <v>0</v>
      </c>
      <c r="L49" s="940">
        <v>0</v>
      </c>
      <c r="M49" s="940">
        <v>0</v>
      </c>
      <c r="N49" s="940">
        <v>0</v>
      </c>
      <c r="O49" s="932">
        <v>0</v>
      </c>
      <c r="P49" s="940">
        <v>0</v>
      </c>
      <c r="S49" s="574"/>
      <c r="T49" s="629"/>
      <c r="U49" s="626"/>
      <c r="V49" s="455"/>
      <c r="W49" s="629"/>
      <c r="X49" s="626"/>
      <c r="Y49" s="455"/>
    </row>
    <row r="50" spans="1:25" x14ac:dyDescent="0.25">
      <c r="A50" s="620">
        <f t="shared" si="9"/>
        <v>31</v>
      </c>
      <c r="C50" s="608" t="s">
        <v>186</v>
      </c>
      <c r="D50" s="934" t="s">
        <v>1388</v>
      </c>
      <c r="E50" s="940">
        <v>0</v>
      </c>
      <c r="F50" s="940">
        <v>0</v>
      </c>
      <c r="G50" s="940">
        <v>0</v>
      </c>
      <c r="H50" s="663">
        <v>0</v>
      </c>
      <c r="I50" s="624">
        <v>0</v>
      </c>
      <c r="J50" s="664">
        <v>0</v>
      </c>
      <c r="K50" s="940">
        <v>0</v>
      </c>
      <c r="L50" s="940">
        <v>0</v>
      </c>
      <c r="M50" s="940">
        <v>0</v>
      </c>
      <c r="N50" s="940">
        <v>0</v>
      </c>
      <c r="O50" s="932">
        <v>0</v>
      </c>
      <c r="P50" s="940">
        <v>0</v>
      </c>
      <c r="S50" s="574"/>
      <c r="T50" s="629"/>
      <c r="U50" s="626"/>
      <c r="V50" s="455"/>
      <c r="W50" s="629"/>
      <c r="X50" s="626"/>
      <c r="Y50" s="455"/>
    </row>
    <row r="51" spans="1:25" x14ac:dyDescent="0.25">
      <c r="A51" s="620">
        <f t="shared" si="9"/>
        <v>32</v>
      </c>
      <c r="C51" s="606" t="s">
        <v>187</v>
      </c>
      <c r="D51" s="934" t="s">
        <v>1388</v>
      </c>
      <c r="E51" s="940">
        <v>0</v>
      </c>
      <c r="F51" s="940">
        <v>0</v>
      </c>
      <c r="G51" s="940">
        <v>0</v>
      </c>
      <c r="H51" s="663">
        <v>0</v>
      </c>
      <c r="I51" s="624">
        <v>0</v>
      </c>
      <c r="J51" s="664">
        <v>0</v>
      </c>
      <c r="K51" s="940">
        <v>0</v>
      </c>
      <c r="L51" s="940">
        <v>0</v>
      </c>
      <c r="M51" s="940">
        <v>0</v>
      </c>
      <c r="N51" s="940">
        <v>0</v>
      </c>
      <c r="O51" s="932">
        <v>0</v>
      </c>
      <c r="P51" s="940">
        <v>0</v>
      </c>
      <c r="S51" s="574"/>
      <c r="T51" s="629"/>
      <c r="U51" s="626"/>
      <c r="V51" s="455"/>
      <c r="W51" s="629"/>
      <c r="X51" s="626"/>
      <c r="Y51" s="455"/>
    </row>
    <row r="52" spans="1:25" x14ac:dyDescent="0.25">
      <c r="A52" s="620">
        <f t="shared" si="9"/>
        <v>33</v>
      </c>
      <c r="C52" s="608" t="s">
        <v>188</v>
      </c>
      <c r="D52" s="934" t="s">
        <v>1388</v>
      </c>
      <c r="E52" s="940">
        <v>0</v>
      </c>
      <c r="F52" s="940">
        <v>0</v>
      </c>
      <c r="G52" s="940">
        <v>0</v>
      </c>
      <c r="H52" s="663">
        <v>0</v>
      </c>
      <c r="I52" s="624">
        <v>0</v>
      </c>
      <c r="J52" s="664">
        <v>0</v>
      </c>
      <c r="K52" s="940">
        <v>0</v>
      </c>
      <c r="L52" s="940">
        <v>0</v>
      </c>
      <c r="M52" s="940">
        <v>0</v>
      </c>
      <c r="N52" s="940">
        <v>0</v>
      </c>
      <c r="O52" s="932">
        <v>0</v>
      </c>
      <c r="P52" s="940">
        <v>0</v>
      </c>
      <c r="S52" s="574"/>
      <c r="T52" s="629"/>
      <c r="U52" s="626"/>
      <c r="V52" s="455"/>
      <c r="W52" s="629"/>
      <c r="X52" s="626"/>
      <c r="Y52" s="455"/>
    </row>
    <row r="53" spans="1:25" x14ac:dyDescent="0.25">
      <c r="A53" s="620">
        <f t="shared" si="9"/>
        <v>34</v>
      </c>
      <c r="C53" s="608" t="s">
        <v>189</v>
      </c>
      <c r="D53" s="934" t="s">
        <v>1388</v>
      </c>
      <c r="E53" s="940">
        <v>0</v>
      </c>
      <c r="F53" s="940">
        <v>0</v>
      </c>
      <c r="G53" s="940">
        <v>0</v>
      </c>
      <c r="H53" s="663">
        <v>0</v>
      </c>
      <c r="I53" s="624">
        <v>0</v>
      </c>
      <c r="J53" s="664">
        <v>0</v>
      </c>
      <c r="K53" s="940">
        <v>0</v>
      </c>
      <c r="L53" s="940">
        <v>0</v>
      </c>
      <c r="M53" s="940">
        <v>0</v>
      </c>
      <c r="N53" s="940">
        <v>0</v>
      </c>
      <c r="O53" s="932">
        <v>0</v>
      </c>
      <c r="P53" s="940">
        <v>0</v>
      </c>
      <c r="S53" s="574"/>
      <c r="T53" s="629"/>
      <c r="U53" s="626"/>
      <c r="V53" s="455"/>
      <c r="W53" s="629"/>
      <c r="X53" s="626"/>
      <c r="Y53" s="455"/>
    </row>
    <row r="54" spans="1:25" x14ac:dyDescent="0.25">
      <c r="A54" s="620">
        <f t="shared" si="9"/>
        <v>35</v>
      </c>
      <c r="C54" s="606" t="s">
        <v>190</v>
      </c>
      <c r="D54" s="934" t="s">
        <v>1388</v>
      </c>
      <c r="E54" s="940">
        <v>0</v>
      </c>
      <c r="F54" s="940">
        <v>0</v>
      </c>
      <c r="G54" s="940">
        <v>0</v>
      </c>
      <c r="H54" s="663">
        <v>0</v>
      </c>
      <c r="I54" s="624">
        <v>0</v>
      </c>
      <c r="J54" s="664">
        <v>0</v>
      </c>
      <c r="K54" s="940">
        <v>0</v>
      </c>
      <c r="L54" s="940">
        <v>0</v>
      </c>
      <c r="M54" s="940">
        <v>0</v>
      </c>
      <c r="N54" s="940">
        <v>0</v>
      </c>
      <c r="O54" s="932">
        <v>0</v>
      </c>
      <c r="P54" s="940">
        <v>0</v>
      </c>
      <c r="S54" s="574"/>
      <c r="T54" s="629"/>
      <c r="U54" s="626"/>
      <c r="V54" s="455"/>
      <c r="W54" s="629"/>
      <c r="X54" s="626"/>
      <c r="Y54" s="455"/>
    </row>
    <row r="55" spans="1:25" x14ac:dyDescent="0.25">
      <c r="A55" s="620">
        <f t="shared" si="9"/>
        <v>36</v>
      </c>
      <c r="C55" s="606" t="s">
        <v>191</v>
      </c>
      <c r="D55" s="934" t="s">
        <v>1388</v>
      </c>
      <c r="E55" s="940">
        <v>0</v>
      </c>
      <c r="F55" s="940">
        <v>0</v>
      </c>
      <c r="G55" s="940">
        <v>0</v>
      </c>
      <c r="H55" s="663">
        <v>0</v>
      </c>
      <c r="I55" s="624">
        <v>0</v>
      </c>
      <c r="J55" s="664">
        <v>0</v>
      </c>
      <c r="K55" s="940">
        <v>0</v>
      </c>
      <c r="L55" s="940">
        <v>0</v>
      </c>
      <c r="M55" s="940">
        <v>0</v>
      </c>
      <c r="N55" s="940">
        <v>0</v>
      </c>
      <c r="O55" s="932">
        <v>0</v>
      </c>
      <c r="P55" s="940">
        <v>0</v>
      </c>
      <c r="S55" s="574"/>
      <c r="T55" s="629"/>
      <c r="U55" s="626"/>
      <c r="V55" s="455"/>
      <c r="W55" s="629"/>
      <c r="X55" s="626"/>
      <c r="Y55" s="455"/>
    </row>
    <row r="56" spans="1:25" x14ac:dyDescent="0.25">
      <c r="A56" s="620">
        <f t="shared" si="9"/>
        <v>37</v>
      </c>
      <c r="C56" s="606" t="s">
        <v>181</v>
      </c>
      <c r="D56" s="934" t="s">
        <v>1388</v>
      </c>
      <c r="E56" s="940">
        <v>0</v>
      </c>
      <c r="F56" s="940">
        <v>0</v>
      </c>
      <c r="G56" s="940">
        <v>0</v>
      </c>
      <c r="H56" s="663">
        <v>0</v>
      </c>
      <c r="I56" s="624">
        <v>0</v>
      </c>
      <c r="J56" s="664">
        <v>0</v>
      </c>
      <c r="K56" s="940">
        <v>0</v>
      </c>
      <c r="L56" s="940">
        <v>0</v>
      </c>
      <c r="M56" s="940">
        <v>0</v>
      </c>
      <c r="N56" s="940">
        <v>0</v>
      </c>
      <c r="O56" s="932">
        <v>0</v>
      </c>
      <c r="P56" s="940">
        <v>0</v>
      </c>
      <c r="S56" s="574"/>
      <c r="T56" s="629"/>
      <c r="U56" s="626"/>
      <c r="V56" s="455"/>
      <c r="W56" s="629"/>
      <c r="X56" s="626"/>
      <c r="Y56" s="455"/>
    </row>
    <row r="57" spans="1:25" x14ac:dyDescent="0.25">
      <c r="A57" s="620">
        <f t="shared" si="9"/>
        <v>38</v>
      </c>
      <c r="C57" s="606" t="s">
        <v>182</v>
      </c>
      <c r="D57" s="934" t="s">
        <v>1388</v>
      </c>
      <c r="E57" s="940">
        <v>0</v>
      </c>
      <c r="F57" s="940">
        <v>0</v>
      </c>
      <c r="G57" s="940">
        <v>0</v>
      </c>
      <c r="H57" s="663">
        <v>0</v>
      </c>
      <c r="I57" s="624">
        <v>0</v>
      </c>
      <c r="J57" s="664">
        <v>0</v>
      </c>
      <c r="K57" s="940">
        <v>0</v>
      </c>
      <c r="L57" s="940">
        <v>0</v>
      </c>
      <c r="M57" s="940">
        <v>0</v>
      </c>
      <c r="N57" s="940">
        <v>0</v>
      </c>
      <c r="O57" s="932">
        <v>0</v>
      </c>
      <c r="P57" s="940">
        <v>0</v>
      </c>
      <c r="S57" s="574"/>
      <c r="T57" s="629"/>
      <c r="U57" s="626"/>
      <c r="V57" s="455"/>
      <c r="W57" s="629"/>
      <c r="X57" s="626"/>
      <c r="Y57" s="455"/>
    </row>
    <row r="58" spans="1:25" x14ac:dyDescent="0.25">
      <c r="A58" s="620">
        <f t="shared" si="9"/>
        <v>39</v>
      </c>
      <c r="C58" s="608" t="s">
        <v>183</v>
      </c>
      <c r="D58" s="934" t="s">
        <v>1388</v>
      </c>
      <c r="E58" s="940">
        <v>0</v>
      </c>
      <c r="F58" s="940">
        <v>0</v>
      </c>
      <c r="G58" s="940">
        <v>0</v>
      </c>
      <c r="H58" s="663">
        <v>0</v>
      </c>
      <c r="I58" s="624">
        <v>0</v>
      </c>
      <c r="J58" s="664">
        <v>0</v>
      </c>
      <c r="K58" s="940">
        <v>0</v>
      </c>
      <c r="L58" s="940">
        <v>0</v>
      </c>
      <c r="M58" s="940">
        <v>0</v>
      </c>
      <c r="N58" s="940">
        <v>0</v>
      </c>
      <c r="O58" s="932">
        <v>0</v>
      </c>
      <c r="P58" s="940">
        <v>0</v>
      </c>
      <c r="S58" s="574"/>
      <c r="T58" s="629"/>
      <c r="U58" s="626"/>
      <c r="V58" s="455"/>
      <c r="W58" s="629"/>
      <c r="X58" s="626"/>
      <c r="Y58" s="455"/>
    </row>
    <row r="59" spans="1:25" x14ac:dyDescent="0.25">
      <c r="A59" s="620">
        <f t="shared" si="9"/>
        <v>40</v>
      </c>
      <c r="C59" s="608" t="s">
        <v>196</v>
      </c>
      <c r="D59" s="934" t="s">
        <v>1388</v>
      </c>
      <c r="E59" s="940">
        <v>0</v>
      </c>
      <c r="F59" s="940">
        <v>0</v>
      </c>
      <c r="G59" s="940">
        <v>0</v>
      </c>
      <c r="H59" s="663">
        <v>0</v>
      </c>
      <c r="I59" s="624">
        <v>0</v>
      </c>
      <c r="J59" s="664">
        <v>0</v>
      </c>
      <c r="K59" s="940">
        <v>0</v>
      </c>
      <c r="L59" s="940">
        <v>0</v>
      </c>
      <c r="M59" s="940">
        <v>0</v>
      </c>
      <c r="N59" s="940">
        <v>0</v>
      </c>
      <c r="O59" s="932">
        <v>0</v>
      </c>
      <c r="P59" s="940">
        <v>0</v>
      </c>
      <c r="S59" s="574"/>
      <c r="T59" s="629"/>
      <c r="U59" s="626"/>
      <c r="V59" s="455"/>
      <c r="W59" s="629"/>
      <c r="X59" s="626"/>
      <c r="Y59" s="455"/>
    </row>
    <row r="60" spans="1:25" x14ac:dyDescent="0.25">
      <c r="A60" s="620">
        <f t="shared" si="9"/>
        <v>41</v>
      </c>
      <c r="C60" s="606" t="s">
        <v>184</v>
      </c>
      <c r="D60" s="934" t="s">
        <v>1388</v>
      </c>
      <c r="E60" s="940">
        <v>0</v>
      </c>
      <c r="F60" s="940">
        <v>0</v>
      </c>
      <c r="G60" s="940">
        <v>0</v>
      </c>
      <c r="H60" s="663">
        <v>0</v>
      </c>
      <c r="I60" s="624">
        <v>0</v>
      </c>
      <c r="J60" s="664">
        <v>0</v>
      </c>
      <c r="K60" s="940">
        <v>0</v>
      </c>
      <c r="L60" s="940">
        <v>0</v>
      </c>
      <c r="M60" s="940">
        <v>0</v>
      </c>
      <c r="N60" s="940">
        <v>0</v>
      </c>
      <c r="O60" s="932">
        <v>0</v>
      </c>
      <c r="P60" s="940">
        <v>0</v>
      </c>
      <c r="S60" s="574"/>
      <c r="T60" s="629"/>
      <c r="U60" s="626"/>
      <c r="V60" s="455"/>
      <c r="W60" s="629"/>
      <c r="X60" s="626"/>
      <c r="Y60" s="455"/>
    </row>
    <row r="61" spans="1:25" x14ac:dyDescent="0.25">
      <c r="A61" s="620">
        <f t="shared" si="9"/>
        <v>42</v>
      </c>
      <c r="C61" s="608" t="s">
        <v>185</v>
      </c>
      <c r="D61" s="934" t="s">
        <v>1388</v>
      </c>
      <c r="E61" s="940">
        <v>0</v>
      </c>
      <c r="F61" s="940">
        <v>0</v>
      </c>
      <c r="G61" s="940">
        <v>0</v>
      </c>
      <c r="H61" s="663">
        <v>0</v>
      </c>
      <c r="I61" s="624">
        <v>0</v>
      </c>
      <c r="J61" s="664">
        <v>0</v>
      </c>
      <c r="K61" s="940">
        <v>0</v>
      </c>
      <c r="L61" s="940">
        <v>0</v>
      </c>
      <c r="M61" s="940">
        <v>0</v>
      </c>
      <c r="N61" s="940">
        <v>0</v>
      </c>
      <c r="O61" s="932">
        <v>0</v>
      </c>
      <c r="P61" s="940">
        <v>0</v>
      </c>
      <c r="S61" s="574"/>
      <c r="T61" s="629"/>
      <c r="U61" s="626"/>
      <c r="V61" s="455"/>
      <c r="W61" s="629"/>
      <c r="X61" s="626"/>
      <c r="Y61" s="455"/>
    </row>
    <row r="62" spans="1:25" x14ac:dyDescent="0.25">
      <c r="A62" s="620">
        <f t="shared" si="9"/>
        <v>43</v>
      </c>
      <c r="C62" s="608" t="s">
        <v>186</v>
      </c>
      <c r="D62" s="934" t="s">
        <v>1388</v>
      </c>
      <c r="E62" s="940">
        <v>0</v>
      </c>
      <c r="F62" s="940">
        <v>0</v>
      </c>
      <c r="G62" s="940">
        <v>0</v>
      </c>
      <c r="H62" s="663">
        <v>0</v>
      </c>
      <c r="I62" s="624">
        <v>0</v>
      </c>
      <c r="J62" s="664">
        <v>0</v>
      </c>
      <c r="K62" s="940">
        <v>0</v>
      </c>
      <c r="L62" s="940">
        <v>0</v>
      </c>
      <c r="M62" s="940">
        <v>0</v>
      </c>
      <c r="N62" s="940">
        <v>0</v>
      </c>
      <c r="O62" s="932">
        <v>0</v>
      </c>
      <c r="P62" s="940">
        <v>0</v>
      </c>
      <c r="S62" s="574"/>
      <c r="T62" s="629"/>
      <c r="U62" s="626"/>
      <c r="V62" s="455"/>
      <c r="W62" s="629"/>
      <c r="X62" s="626"/>
      <c r="Y62" s="455"/>
    </row>
    <row r="63" spans="1:25" x14ac:dyDescent="0.25">
      <c r="A63" s="620">
        <f t="shared" si="9"/>
        <v>44</v>
      </c>
      <c r="C63" s="606" t="s">
        <v>187</v>
      </c>
      <c r="D63" s="934" t="s">
        <v>1388</v>
      </c>
      <c r="E63" s="940">
        <v>0</v>
      </c>
      <c r="F63" s="940">
        <v>0</v>
      </c>
      <c r="G63" s="940">
        <v>0</v>
      </c>
      <c r="H63" s="663">
        <v>0</v>
      </c>
      <c r="I63" s="624">
        <v>0</v>
      </c>
      <c r="J63" s="664">
        <v>0</v>
      </c>
      <c r="K63" s="940">
        <v>0</v>
      </c>
      <c r="L63" s="940">
        <v>0</v>
      </c>
      <c r="M63" s="940">
        <v>0</v>
      </c>
      <c r="N63" s="940">
        <v>0</v>
      </c>
      <c r="O63" s="932">
        <v>0</v>
      </c>
      <c r="P63" s="940">
        <v>0</v>
      </c>
      <c r="S63" s="574"/>
      <c r="T63" s="629"/>
      <c r="U63" s="626"/>
      <c r="V63" s="455"/>
      <c r="W63" s="629"/>
      <c r="X63" s="626"/>
      <c r="Y63" s="455"/>
    </row>
    <row r="64" spans="1:25" x14ac:dyDescent="0.25">
      <c r="A64" s="620">
        <f t="shared" si="9"/>
        <v>45</v>
      </c>
      <c r="C64" s="608" t="s">
        <v>188</v>
      </c>
      <c r="D64" s="934" t="s">
        <v>1388</v>
      </c>
      <c r="E64" s="940">
        <v>0</v>
      </c>
      <c r="F64" s="940">
        <v>0</v>
      </c>
      <c r="G64" s="940">
        <v>0</v>
      </c>
      <c r="H64" s="663">
        <v>0</v>
      </c>
      <c r="I64" s="624">
        <v>0</v>
      </c>
      <c r="J64" s="664">
        <v>0</v>
      </c>
      <c r="K64" s="940">
        <v>0</v>
      </c>
      <c r="L64" s="940">
        <v>0</v>
      </c>
      <c r="M64" s="940">
        <v>0</v>
      </c>
      <c r="N64" s="940">
        <v>0</v>
      </c>
      <c r="O64" s="932">
        <v>0</v>
      </c>
      <c r="P64" s="940">
        <v>0</v>
      </c>
      <c r="S64" s="574"/>
      <c r="T64" s="629"/>
      <c r="U64" s="626"/>
      <c r="V64" s="455"/>
      <c r="W64" s="629"/>
      <c r="X64" s="626"/>
      <c r="Y64" s="455"/>
    </row>
    <row r="65" spans="1:25" x14ac:dyDescent="0.25">
      <c r="A65" s="620">
        <f t="shared" si="9"/>
        <v>46</v>
      </c>
      <c r="C65" s="608" t="s">
        <v>189</v>
      </c>
      <c r="D65" s="934" t="s">
        <v>1388</v>
      </c>
      <c r="E65" s="940">
        <v>0</v>
      </c>
      <c r="F65" s="940">
        <v>0</v>
      </c>
      <c r="G65" s="940">
        <v>0</v>
      </c>
      <c r="H65" s="663">
        <v>0</v>
      </c>
      <c r="I65" s="624">
        <v>0</v>
      </c>
      <c r="J65" s="664">
        <v>0</v>
      </c>
      <c r="K65" s="940">
        <v>0</v>
      </c>
      <c r="L65" s="940">
        <v>0</v>
      </c>
      <c r="M65" s="940">
        <v>0</v>
      </c>
      <c r="N65" s="940">
        <v>0</v>
      </c>
      <c r="O65" s="932">
        <v>0</v>
      </c>
      <c r="P65" s="940">
        <v>0</v>
      </c>
      <c r="S65" s="574"/>
      <c r="T65" s="629"/>
      <c r="U65" s="626"/>
      <c r="V65" s="455"/>
      <c r="W65" s="629"/>
      <c r="X65" s="626"/>
      <c r="Y65" s="455"/>
    </row>
    <row r="66" spans="1:25" x14ac:dyDescent="0.25">
      <c r="A66" s="621">
        <f t="shared" si="9"/>
        <v>47</v>
      </c>
      <c r="C66" s="608" t="s">
        <v>192</v>
      </c>
      <c r="D66" s="934" t="s">
        <v>1388</v>
      </c>
      <c r="E66" s="940">
        <v>0</v>
      </c>
      <c r="F66" s="940">
        <v>0</v>
      </c>
      <c r="G66" s="940">
        <v>0</v>
      </c>
      <c r="H66" s="663">
        <v>0</v>
      </c>
      <c r="I66" s="624">
        <v>0</v>
      </c>
      <c r="J66" s="664">
        <v>0</v>
      </c>
      <c r="K66" s="940">
        <v>0</v>
      </c>
      <c r="L66" s="940">
        <v>0</v>
      </c>
      <c r="M66" s="940">
        <v>0</v>
      </c>
      <c r="N66" s="940">
        <v>0</v>
      </c>
      <c r="O66" s="932">
        <v>0</v>
      </c>
      <c r="P66" s="940">
        <v>0</v>
      </c>
      <c r="S66" s="574"/>
      <c r="T66" s="629"/>
      <c r="U66" s="626"/>
      <c r="V66" s="455"/>
      <c r="W66" s="629"/>
      <c r="X66" s="626"/>
      <c r="Y66" s="455"/>
    </row>
    <row r="67" spans="1:25" x14ac:dyDescent="0.25">
      <c r="A67" s="621">
        <f t="shared" si="9"/>
        <v>48</v>
      </c>
      <c r="C67" s="608" t="s">
        <v>191</v>
      </c>
      <c r="D67" s="934" t="s">
        <v>1388</v>
      </c>
      <c r="E67" s="940">
        <v>0</v>
      </c>
      <c r="F67" s="940">
        <v>0</v>
      </c>
      <c r="G67" s="940">
        <v>0</v>
      </c>
      <c r="H67" s="663">
        <v>0</v>
      </c>
      <c r="I67" s="624">
        <v>0</v>
      </c>
      <c r="J67" s="664">
        <v>0</v>
      </c>
      <c r="K67" s="940">
        <v>0</v>
      </c>
      <c r="L67" s="940">
        <v>0</v>
      </c>
      <c r="M67" s="940">
        <v>0</v>
      </c>
      <c r="N67" s="940">
        <v>0</v>
      </c>
      <c r="O67" s="932">
        <v>0</v>
      </c>
      <c r="P67" s="940">
        <v>0</v>
      </c>
      <c r="S67" s="574"/>
      <c r="T67" s="629"/>
      <c r="U67" s="626"/>
      <c r="V67" s="455"/>
      <c r="W67" s="629"/>
      <c r="X67" s="626"/>
      <c r="Y67" s="455"/>
    </row>
    <row r="68" spans="1:25" x14ac:dyDescent="0.25">
      <c r="A68" s="621">
        <f t="shared" si="9"/>
        <v>49</v>
      </c>
      <c r="C68" s="608" t="s">
        <v>181</v>
      </c>
      <c r="D68" s="934" t="s">
        <v>1388</v>
      </c>
      <c r="E68" s="940">
        <v>0</v>
      </c>
      <c r="F68" s="940">
        <v>0</v>
      </c>
      <c r="G68" s="940">
        <v>0</v>
      </c>
      <c r="H68" s="663">
        <v>0</v>
      </c>
      <c r="I68" s="624">
        <v>0</v>
      </c>
      <c r="J68" s="664">
        <v>0</v>
      </c>
      <c r="K68" s="940">
        <v>0</v>
      </c>
      <c r="L68" s="940">
        <v>0</v>
      </c>
      <c r="M68" s="940">
        <v>0</v>
      </c>
      <c r="N68" s="940">
        <v>0</v>
      </c>
      <c r="O68" s="932">
        <v>0</v>
      </c>
      <c r="P68" s="940">
        <v>0</v>
      </c>
      <c r="S68" s="574"/>
      <c r="T68" s="629"/>
      <c r="U68" s="626"/>
      <c r="V68" s="455"/>
      <c r="W68" s="629"/>
      <c r="X68" s="626"/>
      <c r="Y68" s="455"/>
    </row>
    <row r="69" spans="1:25" x14ac:dyDescent="0.25">
      <c r="A69" s="620"/>
      <c r="D69" s="628"/>
      <c r="G69" s="574"/>
      <c r="M69" s="570"/>
      <c r="N69" s="624"/>
    </row>
    <row r="70" spans="1:25" x14ac:dyDescent="0.25">
      <c r="A70" s="620"/>
      <c r="B70" s="576" t="s">
        <v>1983</v>
      </c>
      <c r="D70" s="628"/>
      <c r="G70" s="665"/>
      <c r="M70" s="570"/>
      <c r="N70" s="624"/>
    </row>
    <row r="71" spans="1:25" x14ac:dyDescent="0.25">
      <c r="A71" s="620"/>
      <c r="E71" s="615" t="s">
        <v>363</v>
      </c>
      <c r="F71" s="615" t="s">
        <v>347</v>
      </c>
      <c r="G71" s="615" t="s">
        <v>348</v>
      </c>
      <c r="H71" s="615" t="s">
        <v>349</v>
      </c>
      <c r="I71" s="615" t="s">
        <v>350</v>
      </c>
      <c r="J71" s="615" t="s">
        <v>351</v>
      </c>
      <c r="K71" s="615" t="s">
        <v>352</v>
      </c>
      <c r="L71" s="615" t="s">
        <v>541</v>
      </c>
      <c r="M71" s="615" t="s">
        <v>955</v>
      </c>
      <c r="N71" s="615" t="s">
        <v>967</v>
      </c>
      <c r="O71" s="615" t="s">
        <v>970</v>
      </c>
      <c r="P71" s="615" t="s">
        <v>988</v>
      </c>
    </row>
    <row r="72" spans="1:25" ht="26.4" x14ac:dyDescent="0.25">
      <c r="A72" s="620"/>
      <c r="E72" s="617"/>
      <c r="F72" s="617"/>
      <c r="G72" s="618" t="str">
        <f>"=(C"&amp;RIGHT(E71)&amp;"-C"&amp;RIGHT(F71)&amp;")*L"&amp;$A$103</f>
        <v>=(C1-C2)*L74</v>
      </c>
      <c r="H72" s="617" t="str">
        <f>"=(C"&amp;RIGHT(E71)&amp;"-C"&amp;RIGHT(F71)&amp;"+C"&amp;RIGHT(G71)&amp;")*L"&amp;$A$107</f>
        <v>=(C1-C2+C3)*L75</v>
      </c>
      <c r="I72" s="617" t="str">
        <f>"=C"&amp;RIGHT(E71)&amp;"-C"&amp;RIGHT(F71)&amp;"+C"&amp;RIGHT(G71)&amp;"-C"&amp;RIGHT(H71)</f>
        <v>=C1-C2+C3-C4</v>
      </c>
      <c r="J72" s="618" t="str">
        <f>"=C"&amp;RIGHT(I71)&amp;"*L"&amp;$A$111</f>
        <v>=C5*L76</v>
      </c>
      <c r="K72" s="660" t="s">
        <v>1984</v>
      </c>
      <c r="L72" s="661" t="s">
        <v>2099</v>
      </c>
      <c r="M72" s="662" t="s">
        <v>2517</v>
      </c>
      <c r="N72" s="617" t="str">
        <f>"=C"&amp;RIGHT(K71)&amp;"-C"&amp;RIGHT(M71)</f>
        <v>=C7-C9</v>
      </c>
      <c r="P72" s="662" t="s">
        <v>2100</v>
      </c>
    </row>
    <row r="73" spans="1:25" x14ac:dyDescent="0.25">
      <c r="A73" s="620"/>
      <c r="C73" s="620" t="str">
        <f>C10</f>
        <v>Forecast</v>
      </c>
      <c r="E73" s="620" t="str">
        <f>E10</f>
        <v>Unloaded</v>
      </c>
      <c r="F73" s="620"/>
      <c r="G73" s="620"/>
      <c r="H73" s="621"/>
      <c r="I73" s="621" t="str">
        <f>I10</f>
        <v>AFUDC</v>
      </c>
      <c r="J73" s="621"/>
      <c r="K73" s="621"/>
      <c r="L73" s="621"/>
      <c r="M73" s="621"/>
      <c r="O73" s="620" t="str">
        <f>O10</f>
        <v>Unloaded</v>
      </c>
      <c r="P73" s="620" t="str">
        <f>P10</f>
        <v>Loaded</v>
      </c>
    </row>
    <row r="74" spans="1:25" x14ac:dyDescent="0.25">
      <c r="A74" s="620"/>
      <c r="C74" s="620" t="str">
        <f>C11</f>
        <v>Period</v>
      </c>
      <c r="E74" s="620" t="str">
        <f>E11</f>
        <v>Total</v>
      </c>
      <c r="F74" s="620" t="str">
        <f t="shared" ref="F74:H75" si="10">F11</f>
        <v>Prior Period</v>
      </c>
      <c r="G74" s="621" t="str">
        <f t="shared" si="10"/>
        <v>Over Heads</v>
      </c>
      <c r="H74" s="621" t="str">
        <f t="shared" si="10"/>
        <v xml:space="preserve">Cost of </v>
      </c>
      <c r="I74" s="621" t="str">
        <f>I11</f>
        <v>Eligible Plant</v>
      </c>
      <c r="J74" s="621"/>
      <c r="K74" s="621" t="str">
        <f t="shared" ref="K74:M74" si="11">K11</f>
        <v>Incremental</v>
      </c>
      <c r="L74" s="621" t="str">
        <f t="shared" si="11"/>
        <v>Depreciation</v>
      </c>
      <c r="M74" s="621" t="str">
        <f t="shared" si="11"/>
        <v>Incremental</v>
      </c>
      <c r="O74" s="621" t="str">
        <f>O11</f>
        <v>Low Voltage</v>
      </c>
      <c r="P74" s="621" t="str">
        <f>P11</f>
        <v>Low Voltage</v>
      </c>
      <c r="Q74" s="620"/>
    </row>
    <row r="75" spans="1:25" x14ac:dyDescent="0.25">
      <c r="A75" s="622" t="s">
        <v>332</v>
      </c>
      <c r="C75" s="605" t="str">
        <f>C12</f>
        <v>Month</v>
      </c>
      <c r="D75" s="605" t="str">
        <f>D12</f>
        <v>Year</v>
      </c>
      <c r="E75" s="616" t="str">
        <f>E12</f>
        <v>Plant Adds</v>
      </c>
      <c r="F75" s="616" t="str">
        <f t="shared" si="10"/>
        <v>CWIP Closed</v>
      </c>
      <c r="G75" s="623" t="str">
        <f t="shared" si="10"/>
        <v>Closed to PIS</v>
      </c>
      <c r="H75" s="623" t="str">
        <f t="shared" si="10"/>
        <v>Removal</v>
      </c>
      <c r="I75" s="623" t="str">
        <f>I12</f>
        <v>Additions</v>
      </c>
      <c r="J75" s="623" t="str">
        <f t="shared" ref="J75:P75" si="12">J12</f>
        <v>AFUDC</v>
      </c>
      <c r="K75" s="623" t="str">
        <f t="shared" si="12"/>
        <v>Gross Plant</v>
      </c>
      <c r="L75" s="623" t="str">
        <f t="shared" si="12"/>
        <v>Accrual</v>
      </c>
      <c r="M75" s="623" t="str">
        <f t="shared" si="12"/>
        <v>Reserve</v>
      </c>
      <c r="N75" s="623" t="str">
        <f t="shared" si="12"/>
        <v>Net Plant</v>
      </c>
      <c r="O75" s="623" t="str">
        <f t="shared" si="12"/>
        <v>Additions</v>
      </c>
      <c r="P75" s="623" t="str">
        <f t="shared" si="12"/>
        <v>Additions</v>
      </c>
      <c r="Q75" s="623"/>
      <c r="S75" s="666"/>
      <c r="T75" s="623"/>
      <c r="U75" s="623"/>
      <c r="V75" s="623"/>
      <c r="W75" s="623"/>
      <c r="X75" s="623"/>
      <c r="Y75" s="623"/>
    </row>
    <row r="76" spans="1:25" x14ac:dyDescent="0.25">
      <c r="A76" s="620">
        <f>A68+1</f>
        <v>50</v>
      </c>
      <c r="C76" s="606" t="str">
        <f t="shared" ref="C76:C96" si="13">C45</f>
        <v>January</v>
      </c>
      <c r="D76" s="934" t="s">
        <v>1388</v>
      </c>
      <c r="E76" s="932">
        <v>0</v>
      </c>
      <c r="F76" s="932">
        <v>0</v>
      </c>
      <c r="G76" s="940">
        <v>0</v>
      </c>
      <c r="H76" s="940">
        <v>0</v>
      </c>
      <c r="I76" s="940">
        <v>0</v>
      </c>
      <c r="J76" s="940">
        <v>0</v>
      </c>
      <c r="K76" s="940">
        <v>0</v>
      </c>
      <c r="L76" s="940">
        <v>0</v>
      </c>
      <c r="M76" s="940">
        <v>0</v>
      </c>
      <c r="N76" s="940">
        <v>0</v>
      </c>
      <c r="O76" s="932">
        <v>0</v>
      </c>
      <c r="P76" s="940">
        <v>0</v>
      </c>
      <c r="Q76" s="629"/>
      <c r="R76" s="626"/>
      <c r="S76" s="629"/>
      <c r="T76" s="629"/>
      <c r="U76" s="626"/>
      <c r="V76" s="455"/>
      <c r="W76" s="629"/>
      <c r="X76" s="626"/>
      <c r="Y76" s="455"/>
    </row>
    <row r="77" spans="1:25" x14ac:dyDescent="0.25">
      <c r="A77" s="620">
        <f t="shared" si="9"/>
        <v>51</v>
      </c>
      <c r="C77" s="606" t="str">
        <f t="shared" si="13"/>
        <v>February</v>
      </c>
      <c r="D77" s="934" t="s">
        <v>1388</v>
      </c>
      <c r="E77" s="932">
        <v>0</v>
      </c>
      <c r="F77" s="932">
        <v>0</v>
      </c>
      <c r="G77" s="940">
        <v>0</v>
      </c>
      <c r="H77" s="940">
        <v>0</v>
      </c>
      <c r="I77" s="940">
        <v>0</v>
      </c>
      <c r="J77" s="940">
        <v>0</v>
      </c>
      <c r="K77" s="940">
        <v>0</v>
      </c>
      <c r="L77" s="940">
        <v>0</v>
      </c>
      <c r="M77" s="940">
        <v>0</v>
      </c>
      <c r="N77" s="940">
        <v>0</v>
      </c>
      <c r="O77" s="932">
        <v>0</v>
      </c>
      <c r="P77" s="940">
        <v>0</v>
      </c>
      <c r="Q77" s="629"/>
      <c r="R77" s="626"/>
      <c r="S77" s="629"/>
      <c r="T77" s="629"/>
      <c r="U77" s="626"/>
      <c r="V77" s="455"/>
      <c r="W77" s="629"/>
      <c r="X77" s="626"/>
      <c r="Y77" s="455"/>
    </row>
    <row r="78" spans="1:25" x14ac:dyDescent="0.25">
      <c r="A78" s="620">
        <f t="shared" si="9"/>
        <v>52</v>
      </c>
      <c r="C78" s="606" t="str">
        <f t="shared" si="13"/>
        <v>March</v>
      </c>
      <c r="D78" s="934" t="s">
        <v>1388</v>
      </c>
      <c r="E78" s="932">
        <v>0</v>
      </c>
      <c r="F78" s="932">
        <v>0</v>
      </c>
      <c r="G78" s="940">
        <v>0</v>
      </c>
      <c r="H78" s="940">
        <v>0</v>
      </c>
      <c r="I78" s="940">
        <v>0</v>
      </c>
      <c r="J78" s="940">
        <v>0</v>
      </c>
      <c r="K78" s="940">
        <v>0</v>
      </c>
      <c r="L78" s="940">
        <v>0</v>
      </c>
      <c r="M78" s="940">
        <v>0</v>
      </c>
      <c r="N78" s="940">
        <v>0</v>
      </c>
      <c r="O78" s="932">
        <v>0</v>
      </c>
      <c r="P78" s="940">
        <v>0</v>
      </c>
      <c r="Q78" s="629"/>
      <c r="R78" s="626"/>
      <c r="S78" s="629"/>
      <c r="T78" s="629"/>
      <c r="U78" s="626"/>
      <c r="V78" s="455"/>
      <c r="W78" s="629"/>
      <c r="X78" s="626"/>
      <c r="Y78" s="455"/>
    </row>
    <row r="79" spans="1:25" x14ac:dyDescent="0.25">
      <c r="A79" s="620">
        <f t="shared" si="9"/>
        <v>53</v>
      </c>
      <c r="C79" s="606" t="str">
        <f t="shared" si="13"/>
        <v>April</v>
      </c>
      <c r="D79" s="934" t="s">
        <v>1388</v>
      </c>
      <c r="E79" s="932">
        <v>0</v>
      </c>
      <c r="F79" s="932">
        <v>0</v>
      </c>
      <c r="G79" s="940">
        <v>0</v>
      </c>
      <c r="H79" s="940">
        <v>0</v>
      </c>
      <c r="I79" s="940">
        <v>0</v>
      </c>
      <c r="J79" s="940">
        <v>0</v>
      </c>
      <c r="K79" s="940">
        <v>0</v>
      </c>
      <c r="L79" s="940">
        <v>0</v>
      </c>
      <c r="M79" s="940">
        <v>0</v>
      </c>
      <c r="N79" s="940">
        <v>0</v>
      </c>
      <c r="O79" s="932">
        <v>0</v>
      </c>
      <c r="P79" s="940">
        <v>0</v>
      </c>
      <c r="Q79" s="629"/>
      <c r="R79" s="626"/>
      <c r="S79" s="629"/>
      <c r="T79" s="629"/>
      <c r="U79" s="626"/>
      <c r="V79" s="455"/>
      <c r="W79" s="629"/>
      <c r="X79" s="626"/>
      <c r="Y79" s="455"/>
    </row>
    <row r="80" spans="1:25" x14ac:dyDescent="0.25">
      <c r="A80" s="620">
        <f t="shared" si="9"/>
        <v>54</v>
      </c>
      <c r="C80" s="606" t="str">
        <f t="shared" si="13"/>
        <v>May</v>
      </c>
      <c r="D80" s="934" t="s">
        <v>1388</v>
      </c>
      <c r="E80" s="932">
        <v>0</v>
      </c>
      <c r="F80" s="932">
        <v>0</v>
      </c>
      <c r="G80" s="940">
        <v>0</v>
      </c>
      <c r="H80" s="940">
        <v>0</v>
      </c>
      <c r="I80" s="940">
        <v>0</v>
      </c>
      <c r="J80" s="940">
        <v>0</v>
      </c>
      <c r="K80" s="940">
        <v>0</v>
      </c>
      <c r="L80" s="940">
        <v>0</v>
      </c>
      <c r="M80" s="940">
        <v>0</v>
      </c>
      <c r="N80" s="940">
        <v>0</v>
      </c>
      <c r="O80" s="932">
        <v>0</v>
      </c>
      <c r="P80" s="940">
        <v>0</v>
      </c>
      <c r="Q80" s="629"/>
      <c r="R80" s="626"/>
      <c r="S80" s="629"/>
      <c r="T80" s="629"/>
      <c r="U80" s="626"/>
      <c r="V80" s="455"/>
      <c r="W80" s="629"/>
      <c r="X80" s="626"/>
      <c r="Y80" s="455"/>
    </row>
    <row r="81" spans="1:25" x14ac:dyDescent="0.25">
      <c r="A81" s="620">
        <f t="shared" si="9"/>
        <v>55</v>
      </c>
      <c r="C81" s="606" t="str">
        <f t="shared" si="13"/>
        <v xml:space="preserve">June </v>
      </c>
      <c r="D81" s="934" t="s">
        <v>1388</v>
      </c>
      <c r="E81" s="932">
        <v>0</v>
      </c>
      <c r="F81" s="932">
        <v>0</v>
      </c>
      <c r="G81" s="940">
        <v>0</v>
      </c>
      <c r="H81" s="940">
        <v>0</v>
      </c>
      <c r="I81" s="940">
        <v>0</v>
      </c>
      <c r="J81" s="940">
        <v>0</v>
      </c>
      <c r="K81" s="940">
        <v>0</v>
      </c>
      <c r="L81" s="940">
        <v>0</v>
      </c>
      <c r="M81" s="940">
        <v>0</v>
      </c>
      <c r="N81" s="940">
        <v>0</v>
      </c>
      <c r="O81" s="932">
        <v>0</v>
      </c>
      <c r="P81" s="940">
        <v>0</v>
      </c>
      <c r="Q81" s="629"/>
      <c r="R81" s="626"/>
      <c r="S81" s="629"/>
      <c r="T81" s="629"/>
      <c r="U81" s="626"/>
      <c r="V81" s="455"/>
      <c r="W81" s="629"/>
      <c r="X81" s="626"/>
      <c r="Y81" s="455"/>
    </row>
    <row r="82" spans="1:25" x14ac:dyDescent="0.25">
      <c r="A82" s="620">
        <f t="shared" si="9"/>
        <v>56</v>
      </c>
      <c r="C82" s="606" t="str">
        <f t="shared" si="13"/>
        <v>July</v>
      </c>
      <c r="D82" s="934" t="s">
        <v>1388</v>
      </c>
      <c r="E82" s="932">
        <v>0</v>
      </c>
      <c r="F82" s="932">
        <v>0</v>
      </c>
      <c r="G82" s="940">
        <v>0</v>
      </c>
      <c r="H82" s="940">
        <v>0</v>
      </c>
      <c r="I82" s="940">
        <v>0</v>
      </c>
      <c r="J82" s="940">
        <v>0</v>
      </c>
      <c r="K82" s="940">
        <v>0</v>
      </c>
      <c r="L82" s="940">
        <v>0</v>
      </c>
      <c r="M82" s="940">
        <v>0</v>
      </c>
      <c r="N82" s="940">
        <v>0</v>
      </c>
      <c r="O82" s="932">
        <v>0</v>
      </c>
      <c r="P82" s="940">
        <v>0</v>
      </c>
      <c r="Q82" s="629"/>
      <c r="R82" s="626"/>
      <c r="S82" s="629"/>
      <c r="T82" s="629"/>
      <c r="U82" s="626"/>
      <c r="V82" s="455"/>
      <c r="W82" s="629"/>
      <c r="X82" s="626"/>
      <c r="Y82" s="455"/>
    </row>
    <row r="83" spans="1:25" x14ac:dyDescent="0.25">
      <c r="A83" s="620">
        <f t="shared" si="9"/>
        <v>57</v>
      </c>
      <c r="C83" s="606" t="str">
        <f t="shared" si="13"/>
        <v>August</v>
      </c>
      <c r="D83" s="934" t="s">
        <v>1388</v>
      </c>
      <c r="E83" s="932">
        <v>0</v>
      </c>
      <c r="F83" s="932">
        <v>0</v>
      </c>
      <c r="G83" s="940">
        <v>0</v>
      </c>
      <c r="H83" s="940">
        <v>0</v>
      </c>
      <c r="I83" s="940">
        <v>0</v>
      </c>
      <c r="J83" s="940">
        <v>0</v>
      </c>
      <c r="K83" s="940">
        <v>0</v>
      </c>
      <c r="L83" s="940">
        <v>0</v>
      </c>
      <c r="M83" s="940">
        <v>0</v>
      </c>
      <c r="N83" s="940">
        <v>0</v>
      </c>
      <c r="O83" s="932">
        <v>0</v>
      </c>
      <c r="P83" s="940">
        <v>0</v>
      </c>
      <c r="Q83" s="629"/>
      <c r="R83" s="626"/>
      <c r="S83" s="629"/>
      <c r="T83" s="629"/>
      <c r="U83" s="626"/>
      <c r="V83" s="455"/>
      <c r="W83" s="629"/>
      <c r="X83" s="626"/>
      <c r="Y83" s="455"/>
    </row>
    <row r="84" spans="1:25" x14ac:dyDescent="0.25">
      <c r="A84" s="620">
        <f t="shared" si="9"/>
        <v>58</v>
      </c>
      <c r="C84" s="606" t="str">
        <f t="shared" si="13"/>
        <v>September</v>
      </c>
      <c r="D84" s="934" t="s">
        <v>1388</v>
      </c>
      <c r="E84" s="932">
        <v>0</v>
      </c>
      <c r="F84" s="932">
        <v>0</v>
      </c>
      <c r="G84" s="940">
        <v>0</v>
      </c>
      <c r="H84" s="940">
        <v>0</v>
      </c>
      <c r="I84" s="940">
        <v>0</v>
      </c>
      <c r="J84" s="940">
        <v>0</v>
      </c>
      <c r="K84" s="940">
        <v>0</v>
      </c>
      <c r="L84" s="940">
        <v>0</v>
      </c>
      <c r="M84" s="940">
        <v>0</v>
      </c>
      <c r="N84" s="940">
        <v>0</v>
      </c>
      <c r="O84" s="932">
        <v>0</v>
      </c>
      <c r="P84" s="940">
        <v>0</v>
      </c>
      <c r="Q84" s="629"/>
      <c r="R84" s="626"/>
      <c r="S84" s="629"/>
      <c r="T84" s="629"/>
      <c r="U84" s="626"/>
      <c r="V84" s="455"/>
      <c r="W84" s="629"/>
      <c r="X84" s="626"/>
      <c r="Y84" s="455"/>
    </row>
    <row r="85" spans="1:25" x14ac:dyDescent="0.25">
      <c r="A85" s="620">
        <f t="shared" si="9"/>
        <v>59</v>
      </c>
      <c r="C85" s="606" t="str">
        <f t="shared" si="13"/>
        <v xml:space="preserve">October </v>
      </c>
      <c r="D85" s="934" t="s">
        <v>1388</v>
      </c>
      <c r="E85" s="932">
        <v>0</v>
      </c>
      <c r="F85" s="932">
        <v>0</v>
      </c>
      <c r="G85" s="940">
        <v>0</v>
      </c>
      <c r="H85" s="940">
        <v>0</v>
      </c>
      <c r="I85" s="940">
        <v>0</v>
      </c>
      <c r="J85" s="940">
        <v>0</v>
      </c>
      <c r="K85" s="940">
        <v>0</v>
      </c>
      <c r="L85" s="940">
        <v>0</v>
      </c>
      <c r="M85" s="940">
        <v>0</v>
      </c>
      <c r="N85" s="940">
        <v>0</v>
      </c>
      <c r="O85" s="932">
        <v>0</v>
      </c>
      <c r="P85" s="940">
        <v>0</v>
      </c>
      <c r="Q85" s="629"/>
      <c r="R85" s="626"/>
      <c r="S85" s="629"/>
      <c r="T85" s="629"/>
      <c r="U85" s="626"/>
      <c r="V85" s="455"/>
      <c r="W85" s="629"/>
      <c r="X85" s="626"/>
      <c r="Y85" s="455"/>
    </row>
    <row r="86" spans="1:25" x14ac:dyDescent="0.25">
      <c r="A86" s="620">
        <f t="shared" si="9"/>
        <v>60</v>
      </c>
      <c r="C86" s="606" t="str">
        <f t="shared" si="13"/>
        <v>November</v>
      </c>
      <c r="D86" s="934" t="s">
        <v>1388</v>
      </c>
      <c r="E86" s="932">
        <v>0</v>
      </c>
      <c r="F86" s="932">
        <v>0</v>
      </c>
      <c r="G86" s="940">
        <v>0</v>
      </c>
      <c r="H86" s="940">
        <v>0</v>
      </c>
      <c r="I86" s="940">
        <v>0</v>
      </c>
      <c r="J86" s="940">
        <v>0</v>
      </c>
      <c r="K86" s="940">
        <v>0</v>
      </c>
      <c r="L86" s="940">
        <v>0</v>
      </c>
      <c r="M86" s="940">
        <v>0</v>
      </c>
      <c r="N86" s="940">
        <v>0</v>
      </c>
      <c r="O86" s="932">
        <v>0</v>
      </c>
      <c r="P86" s="940">
        <v>0</v>
      </c>
      <c r="Q86" s="629"/>
      <c r="R86" s="626"/>
      <c r="S86" s="629"/>
      <c r="T86" s="629"/>
      <c r="U86" s="626"/>
      <c r="V86" s="455"/>
      <c r="W86" s="629"/>
      <c r="X86" s="626"/>
      <c r="Y86" s="455"/>
    </row>
    <row r="87" spans="1:25" x14ac:dyDescent="0.25">
      <c r="A87" s="620">
        <f t="shared" si="9"/>
        <v>61</v>
      </c>
      <c r="C87" s="606" t="str">
        <f t="shared" si="13"/>
        <v>December</v>
      </c>
      <c r="D87" s="934" t="s">
        <v>1388</v>
      </c>
      <c r="E87" s="932">
        <v>0</v>
      </c>
      <c r="F87" s="932">
        <v>0</v>
      </c>
      <c r="G87" s="940">
        <v>0</v>
      </c>
      <c r="H87" s="940">
        <v>0</v>
      </c>
      <c r="I87" s="940">
        <v>0</v>
      </c>
      <c r="J87" s="940">
        <v>0</v>
      </c>
      <c r="K87" s="940">
        <v>0</v>
      </c>
      <c r="L87" s="940">
        <v>0</v>
      </c>
      <c r="M87" s="940">
        <v>0</v>
      </c>
      <c r="N87" s="940">
        <v>0</v>
      </c>
      <c r="O87" s="932">
        <v>0</v>
      </c>
      <c r="P87" s="940">
        <v>0</v>
      </c>
      <c r="Q87" s="629"/>
      <c r="R87" s="626"/>
      <c r="S87" s="629"/>
      <c r="T87" s="629"/>
      <c r="U87" s="626"/>
      <c r="V87" s="455"/>
      <c r="W87" s="629"/>
      <c r="X87" s="626"/>
      <c r="Y87" s="455"/>
    </row>
    <row r="88" spans="1:25" x14ac:dyDescent="0.25">
      <c r="A88" s="620">
        <f t="shared" si="9"/>
        <v>62</v>
      </c>
      <c r="C88" s="606" t="str">
        <f t="shared" si="13"/>
        <v>January</v>
      </c>
      <c r="D88" s="934" t="s">
        <v>1388</v>
      </c>
      <c r="E88" s="932">
        <v>0</v>
      </c>
      <c r="F88" s="932">
        <v>0</v>
      </c>
      <c r="G88" s="940">
        <v>0</v>
      </c>
      <c r="H88" s="940">
        <v>0</v>
      </c>
      <c r="I88" s="940">
        <v>0</v>
      </c>
      <c r="J88" s="940">
        <v>0</v>
      </c>
      <c r="K88" s="940">
        <v>0</v>
      </c>
      <c r="L88" s="940">
        <v>0</v>
      </c>
      <c r="M88" s="940">
        <v>0</v>
      </c>
      <c r="N88" s="940">
        <v>0</v>
      </c>
      <c r="O88" s="932">
        <v>0</v>
      </c>
      <c r="P88" s="940">
        <v>0</v>
      </c>
      <c r="Q88" s="629"/>
      <c r="R88" s="626"/>
      <c r="S88" s="629"/>
      <c r="T88" s="629"/>
      <c r="U88" s="626"/>
      <c r="V88" s="455"/>
      <c r="W88" s="629"/>
      <c r="X88" s="626"/>
      <c r="Y88" s="455"/>
    </row>
    <row r="89" spans="1:25" x14ac:dyDescent="0.25">
      <c r="A89" s="620">
        <f t="shared" si="9"/>
        <v>63</v>
      </c>
      <c r="C89" s="606" t="str">
        <f t="shared" si="13"/>
        <v>February</v>
      </c>
      <c r="D89" s="934" t="s">
        <v>1388</v>
      </c>
      <c r="E89" s="932">
        <v>0</v>
      </c>
      <c r="F89" s="932">
        <v>0</v>
      </c>
      <c r="G89" s="940">
        <v>0</v>
      </c>
      <c r="H89" s="940">
        <v>0</v>
      </c>
      <c r="I89" s="940">
        <v>0</v>
      </c>
      <c r="J89" s="940">
        <v>0</v>
      </c>
      <c r="K89" s="940">
        <v>0</v>
      </c>
      <c r="L89" s="940">
        <v>0</v>
      </c>
      <c r="M89" s="940">
        <v>0</v>
      </c>
      <c r="N89" s="940">
        <v>0</v>
      </c>
      <c r="O89" s="932">
        <v>0</v>
      </c>
      <c r="P89" s="940">
        <v>0</v>
      </c>
      <c r="Q89" s="629"/>
      <c r="R89" s="626"/>
      <c r="S89" s="629"/>
      <c r="T89" s="629"/>
      <c r="U89" s="626"/>
      <c r="V89" s="455"/>
      <c r="W89" s="629"/>
      <c r="X89" s="626"/>
      <c r="Y89" s="455"/>
    </row>
    <row r="90" spans="1:25" x14ac:dyDescent="0.25">
      <c r="A90" s="620">
        <f t="shared" si="9"/>
        <v>64</v>
      </c>
      <c r="C90" s="606" t="str">
        <f t="shared" si="13"/>
        <v>March</v>
      </c>
      <c r="D90" s="934" t="s">
        <v>1388</v>
      </c>
      <c r="E90" s="932">
        <v>0</v>
      </c>
      <c r="F90" s="932">
        <v>0</v>
      </c>
      <c r="G90" s="940">
        <v>0</v>
      </c>
      <c r="H90" s="940">
        <v>0</v>
      </c>
      <c r="I90" s="940">
        <v>0</v>
      </c>
      <c r="J90" s="940">
        <v>0</v>
      </c>
      <c r="K90" s="940">
        <v>0</v>
      </c>
      <c r="L90" s="940">
        <v>0</v>
      </c>
      <c r="M90" s="940">
        <v>0</v>
      </c>
      <c r="N90" s="940">
        <v>0</v>
      </c>
      <c r="O90" s="932">
        <v>0</v>
      </c>
      <c r="P90" s="940">
        <v>0</v>
      </c>
      <c r="Q90" s="629"/>
      <c r="R90" s="626"/>
      <c r="S90" s="629"/>
      <c r="T90" s="629"/>
      <c r="U90" s="626"/>
      <c r="V90" s="455"/>
      <c r="W90" s="629"/>
      <c r="X90" s="626"/>
      <c r="Y90" s="455"/>
    </row>
    <row r="91" spans="1:25" x14ac:dyDescent="0.25">
      <c r="A91" s="620">
        <f t="shared" si="9"/>
        <v>65</v>
      </c>
      <c r="C91" s="606" t="str">
        <f t="shared" si="13"/>
        <v>April</v>
      </c>
      <c r="D91" s="934" t="s">
        <v>1388</v>
      </c>
      <c r="E91" s="932">
        <v>0</v>
      </c>
      <c r="F91" s="932">
        <v>0</v>
      </c>
      <c r="G91" s="940">
        <v>0</v>
      </c>
      <c r="H91" s="940">
        <v>0</v>
      </c>
      <c r="I91" s="940">
        <v>0</v>
      </c>
      <c r="J91" s="940">
        <v>0</v>
      </c>
      <c r="K91" s="940">
        <v>0</v>
      </c>
      <c r="L91" s="940">
        <v>0</v>
      </c>
      <c r="M91" s="940">
        <v>0</v>
      </c>
      <c r="N91" s="940">
        <v>0</v>
      </c>
      <c r="O91" s="932">
        <v>0</v>
      </c>
      <c r="P91" s="940">
        <v>0</v>
      </c>
      <c r="Q91" s="629"/>
      <c r="R91" s="626"/>
      <c r="S91" s="629"/>
      <c r="T91" s="629"/>
      <c r="U91" s="626"/>
      <c r="V91" s="455"/>
      <c r="W91" s="629"/>
      <c r="X91" s="626"/>
      <c r="Y91" s="455"/>
    </row>
    <row r="92" spans="1:25" x14ac:dyDescent="0.25">
      <c r="A92" s="620">
        <f t="shared" si="9"/>
        <v>66</v>
      </c>
      <c r="C92" s="606" t="str">
        <f t="shared" si="13"/>
        <v>May</v>
      </c>
      <c r="D92" s="934" t="s">
        <v>1388</v>
      </c>
      <c r="E92" s="932">
        <v>0</v>
      </c>
      <c r="F92" s="932">
        <v>0</v>
      </c>
      <c r="G92" s="940">
        <v>0</v>
      </c>
      <c r="H92" s="940">
        <v>0</v>
      </c>
      <c r="I92" s="940">
        <v>0</v>
      </c>
      <c r="J92" s="940">
        <v>0</v>
      </c>
      <c r="K92" s="940">
        <v>0</v>
      </c>
      <c r="L92" s="940">
        <v>0</v>
      </c>
      <c r="M92" s="940">
        <v>0</v>
      </c>
      <c r="N92" s="940">
        <v>0</v>
      </c>
      <c r="O92" s="932">
        <v>0</v>
      </c>
      <c r="P92" s="940">
        <v>0</v>
      </c>
      <c r="Q92" s="629"/>
      <c r="R92" s="626"/>
      <c r="S92" s="629"/>
      <c r="T92" s="629"/>
      <c r="U92" s="626"/>
      <c r="V92" s="455"/>
      <c r="W92" s="629"/>
      <c r="X92" s="626"/>
      <c r="Y92" s="455"/>
    </row>
    <row r="93" spans="1:25" x14ac:dyDescent="0.25">
      <c r="A93" s="620">
        <f t="shared" si="9"/>
        <v>67</v>
      </c>
      <c r="C93" s="606" t="str">
        <f t="shared" si="13"/>
        <v xml:space="preserve">June </v>
      </c>
      <c r="D93" s="934" t="s">
        <v>1388</v>
      </c>
      <c r="E93" s="932">
        <v>0</v>
      </c>
      <c r="F93" s="932">
        <v>0</v>
      </c>
      <c r="G93" s="940">
        <v>0</v>
      </c>
      <c r="H93" s="940">
        <v>0</v>
      </c>
      <c r="I93" s="940">
        <v>0</v>
      </c>
      <c r="J93" s="940">
        <v>0</v>
      </c>
      <c r="K93" s="940">
        <v>0</v>
      </c>
      <c r="L93" s="940">
        <v>0</v>
      </c>
      <c r="M93" s="940">
        <v>0</v>
      </c>
      <c r="N93" s="940">
        <v>0</v>
      </c>
      <c r="O93" s="932">
        <v>0</v>
      </c>
      <c r="P93" s="940">
        <v>0</v>
      </c>
      <c r="Q93" s="629"/>
      <c r="R93" s="626"/>
      <c r="S93" s="629"/>
      <c r="T93" s="629"/>
      <c r="U93" s="626"/>
      <c r="V93" s="455"/>
      <c r="W93" s="629"/>
      <c r="X93" s="626"/>
      <c r="Y93" s="455"/>
    </row>
    <row r="94" spans="1:25" x14ac:dyDescent="0.25">
      <c r="A94" s="620">
        <f t="shared" si="9"/>
        <v>68</v>
      </c>
      <c r="C94" s="606" t="str">
        <f t="shared" si="13"/>
        <v>July</v>
      </c>
      <c r="D94" s="934" t="s">
        <v>1388</v>
      </c>
      <c r="E94" s="932">
        <v>0</v>
      </c>
      <c r="F94" s="932">
        <v>0</v>
      </c>
      <c r="G94" s="940">
        <v>0</v>
      </c>
      <c r="H94" s="940">
        <v>0</v>
      </c>
      <c r="I94" s="940">
        <v>0</v>
      </c>
      <c r="J94" s="940">
        <v>0</v>
      </c>
      <c r="K94" s="940">
        <v>0</v>
      </c>
      <c r="L94" s="940">
        <v>0</v>
      </c>
      <c r="M94" s="940">
        <v>0</v>
      </c>
      <c r="N94" s="940">
        <v>0</v>
      </c>
      <c r="O94" s="932">
        <v>0</v>
      </c>
      <c r="P94" s="940">
        <v>0</v>
      </c>
      <c r="Q94" s="629"/>
      <c r="R94" s="626"/>
      <c r="S94" s="629"/>
      <c r="T94" s="629"/>
      <c r="U94" s="626"/>
      <c r="V94" s="455"/>
      <c r="W94" s="629"/>
      <c r="X94" s="626"/>
      <c r="Y94" s="455"/>
    </row>
    <row r="95" spans="1:25" x14ac:dyDescent="0.25">
      <c r="A95" s="620">
        <f t="shared" si="9"/>
        <v>69</v>
      </c>
      <c r="C95" s="606" t="str">
        <f t="shared" si="13"/>
        <v>August</v>
      </c>
      <c r="D95" s="934" t="s">
        <v>1388</v>
      </c>
      <c r="E95" s="932">
        <v>0</v>
      </c>
      <c r="F95" s="932">
        <v>0</v>
      </c>
      <c r="G95" s="940">
        <v>0</v>
      </c>
      <c r="H95" s="940">
        <v>0</v>
      </c>
      <c r="I95" s="940">
        <v>0</v>
      </c>
      <c r="J95" s="940">
        <v>0</v>
      </c>
      <c r="K95" s="940">
        <v>0</v>
      </c>
      <c r="L95" s="940">
        <v>0</v>
      </c>
      <c r="M95" s="940">
        <v>0</v>
      </c>
      <c r="N95" s="940">
        <v>0</v>
      </c>
      <c r="O95" s="932">
        <v>0</v>
      </c>
      <c r="P95" s="940">
        <v>0</v>
      </c>
      <c r="Q95" s="629"/>
      <c r="R95" s="626"/>
      <c r="S95" s="629"/>
      <c r="T95" s="629"/>
      <c r="U95" s="626"/>
      <c r="V95" s="455"/>
      <c r="W95" s="629"/>
      <c r="X95" s="626"/>
      <c r="Y95" s="455"/>
    </row>
    <row r="96" spans="1:25" x14ac:dyDescent="0.25">
      <c r="A96" s="620">
        <f t="shared" si="9"/>
        <v>70</v>
      </c>
      <c r="C96" s="606" t="str">
        <f t="shared" si="13"/>
        <v>September</v>
      </c>
      <c r="D96" s="934" t="s">
        <v>1388</v>
      </c>
      <c r="E96" s="932">
        <v>0</v>
      </c>
      <c r="F96" s="932">
        <v>0</v>
      </c>
      <c r="G96" s="940">
        <v>0</v>
      </c>
      <c r="H96" s="940">
        <v>0</v>
      </c>
      <c r="I96" s="940">
        <v>0</v>
      </c>
      <c r="J96" s="940">
        <v>0</v>
      </c>
      <c r="K96" s="940">
        <v>0</v>
      </c>
      <c r="L96" s="940">
        <v>0</v>
      </c>
      <c r="M96" s="940">
        <v>0</v>
      </c>
      <c r="N96" s="940">
        <v>0</v>
      </c>
      <c r="O96" s="932">
        <v>0</v>
      </c>
      <c r="P96" s="940">
        <v>0</v>
      </c>
      <c r="Q96" s="629"/>
      <c r="R96" s="626"/>
      <c r="S96" s="629"/>
      <c r="T96" s="629"/>
      <c r="U96" s="626"/>
      <c r="V96" s="455"/>
      <c r="W96" s="629"/>
      <c r="X96" s="626"/>
      <c r="Y96" s="455"/>
    </row>
    <row r="97" spans="1:25" x14ac:dyDescent="0.25">
      <c r="A97" s="621">
        <f t="shared" si="9"/>
        <v>71</v>
      </c>
      <c r="C97" s="606" t="str">
        <f t="shared" ref="C97:C99" si="14">C66</f>
        <v>October</v>
      </c>
      <c r="D97" s="934" t="s">
        <v>1388</v>
      </c>
      <c r="E97" s="932">
        <v>0</v>
      </c>
      <c r="F97" s="932">
        <v>0</v>
      </c>
      <c r="G97" s="940">
        <v>0</v>
      </c>
      <c r="H97" s="940">
        <v>0</v>
      </c>
      <c r="I97" s="940">
        <v>0</v>
      </c>
      <c r="J97" s="940">
        <v>0</v>
      </c>
      <c r="K97" s="940">
        <v>0</v>
      </c>
      <c r="L97" s="940">
        <v>0</v>
      </c>
      <c r="M97" s="940">
        <v>0</v>
      </c>
      <c r="N97" s="940">
        <v>0</v>
      </c>
      <c r="O97" s="932">
        <v>0</v>
      </c>
      <c r="P97" s="940">
        <v>0</v>
      </c>
      <c r="Q97" s="629"/>
      <c r="R97" s="626"/>
      <c r="S97" s="629"/>
      <c r="T97" s="629"/>
      <c r="U97" s="626"/>
      <c r="V97" s="455"/>
      <c r="W97" s="629"/>
      <c r="X97" s="626"/>
      <c r="Y97" s="455"/>
    </row>
    <row r="98" spans="1:25" x14ac:dyDescent="0.25">
      <c r="A98" s="621">
        <f t="shared" si="9"/>
        <v>72</v>
      </c>
      <c r="C98" s="606" t="str">
        <f t="shared" si="14"/>
        <v>November</v>
      </c>
      <c r="D98" s="934" t="s">
        <v>1388</v>
      </c>
      <c r="E98" s="932">
        <v>0</v>
      </c>
      <c r="F98" s="932">
        <v>0</v>
      </c>
      <c r="G98" s="940">
        <v>0</v>
      </c>
      <c r="H98" s="940">
        <v>0</v>
      </c>
      <c r="I98" s="940">
        <v>0</v>
      </c>
      <c r="J98" s="940">
        <v>0</v>
      </c>
      <c r="K98" s="940">
        <v>0</v>
      </c>
      <c r="L98" s="940">
        <v>0</v>
      </c>
      <c r="M98" s="940">
        <v>0</v>
      </c>
      <c r="N98" s="940">
        <v>0</v>
      </c>
      <c r="O98" s="932">
        <v>0</v>
      </c>
      <c r="P98" s="940">
        <v>0</v>
      </c>
      <c r="Q98" s="629"/>
      <c r="R98" s="626"/>
      <c r="S98" s="629"/>
      <c r="T98" s="629"/>
      <c r="U98" s="626"/>
      <c r="V98" s="455"/>
      <c r="W98" s="629"/>
      <c r="X98" s="626"/>
      <c r="Y98" s="455"/>
    </row>
    <row r="99" spans="1:25" x14ac:dyDescent="0.25">
      <c r="A99" s="621">
        <f t="shared" si="9"/>
        <v>73</v>
      </c>
      <c r="C99" s="606" t="str">
        <f t="shared" si="14"/>
        <v>December</v>
      </c>
      <c r="D99" s="934" t="s">
        <v>1388</v>
      </c>
      <c r="E99" s="932">
        <v>0</v>
      </c>
      <c r="F99" s="932">
        <v>0</v>
      </c>
      <c r="G99" s="940">
        <v>0</v>
      </c>
      <c r="H99" s="940">
        <v>0</v>
      </c>
      <c r="I99" s="940">
        <v>0</v>
      </c>
      <c r="J99" s="940">
        <v>0</v>
      </c>
      <c r="K99" s="940">
        <v>0</v>
      </c>
      <c r="L99" s="940">
        <v>0</v>
      </c>
      <c r="M99" s="940">
        <v>0</v>
      </c>
      <c r="N99" s="940">
        <v>0</v>
      </c>
      <c r="O99" s="932">
        <v>0</v>
      </c>
      <c r="P99" s="940">
        <v>0</v>
      </c>
      <c r="Q99" s="629"/>
      <c r="R99" s="626"/>
      <c r="S99" s="629"/>
      <c r="T99" s="629"/>
      <c r="U99" s="626"/>
      <c r="V99" s="455"/>
      <c r="W99" s="629"/>
      <c r="X99" s="626"/>
      <c r="Y99" s="455"/>
    </row>
    <row r="100" spans="1:25" x14ac:dyDescent="0.25">
      <c r="A100" s="620"/>
      <c r="O100" s="626"/>
    </row>
    <row r="101" spans="1:25" x14ac:dyDescent="0.25">
      <c r="A101" s="620"/>
      <c r="B101" s="576" t="s">
        <v>1937</v>
      </c>
      <c r="G101" s="577"/>
    </row>
    <row r="102" spans="1:25" x14ac:dyDescent="0.25">
      <c r="A102" s="622" t="s">
        <v>332</v>
      </c>
      <c r="B102" s="577"/>
      <c r="F102" s="667"/>
    </row>
    <row r="103" spans="1:25" x14ac:dyDescent="0.25">
      <c r="A103" s="620">
        <f>A99+1</f>
        <v>74</v>
      </c>
      <c r="C103" s="630" t="s">
        <v>1929</v>
      </c>
      <c r="E103" s="631">
        <v>7.4999999999999997E-2</v>
      </c>
    </row>
    <row r="105" spans="1:25" x14ac:dyDescent="0.25">
      <c r="A105" s="620"/>
      <c r="B105" s="576" t="s">
        <v>1939</v>
      </c>
    </row>
    <row r="106" spans="1:25" x14ac:dyDescent="0.25">
      <c r="A106" s="622" t="s">
        <v>332</v>
      </c>
      <c r="F106" s="667"/>
    </row>
    <row r="107" spans="1:25" x14ac:dyDescent="0.25">
      <c r="A107" s="620">
        <f>A103+1</f>
        <v>75</v>
      </c>
      <c r="B107" s="576"/>
      <c r="C107" s="573" t="s">
        <v>1930</v>
      </c>
      <c r="E107" s="631">
        <v>0.08</v>
      </c>
    </row>
    <row r="108" spans="1:25" x14ac:dyDescent="0.25">
      <c r="A108" s="620"/>
      <c r="B108" s="577"/>
      <c r="C108" s="573"/>
    </row>
    <row r="109" spans="1:25" x14ac:dyDescent="0.25">
      <c r="B109" s="576" t="s">
        <v>1940</v>
      </c>
    </row>
    <row r="110" spans="1:25" x14ac:dyDescent="0.25">
      <c r="A110" s="622" t="s">
        <v>332</v>
      </c>
      <c r="B110" s="577"/>
      <c r="F110" s="667"/>
    </row>
    <row r="111" spans="1:25" x14ac:dyDescent="0.25">
      <c r="A111" s="620">
        <f>A107+1</f>
        <v>76</v>
      </c>
      <c r="C111" s="573" t="s">
        <v>1931</v>
      </c>
      <c r="E111" s="631">
        <v>0.03</v>
      </c>
    </row>
    <row r="113" spans="1:9" x14ac:dyDescent="0.25">
      <c r="B113" s="576" t="s">
        <v>1938</v>
      </c>
    </row>
    <row r="114" spans="1:9" s="616" customFormat="1" x14ac:dyDescent="0.25">
      <c r="C114" s="627" t="s">
        <v>1985</v>
      </c>
      <c r="F114" s="632"/>
    </row>
    <row r="115" spans="1:9" s="620" customFormat="1" x14ac:dyDescent="0.25">
      <c r="B115" s="616" t="s">
        <v>363</v>
      </c>
      <c r="C115" s="616" t="s">
        <v>347</v>
      </c>
      <c r="D115" s="616" t="s">
        <v>348</v>
      </c>
      <c r="E115" s="616" t="s">
        <v>349</v>
      </c>
      <c r="F115" s="616"/>
    </row>
    <row r="116" spans="1:9" s="616" customFormat="1" x14ac:dyDescent="0.25">
      <c r="C116" s="620" t="s">
        <v>181</v>
      </c>
      <c r="E116" s="633" t="s">
        <v>1932</v>
      </c>
    </row>
    <row r="117" spans="1:9" x14ac:dyDescent="0.25">
      <c r="A117" s="620"/>
      <c r="B117" s="620"/>
      <c r="C117" s="620" t="str">
        <f>"Prior Year"</f>
        <v>Prior Year</v>
      </c>
      <c r="D117" s="620" t="s">
        <v>1933</v>
      </c>
      <c r="E117" s="620" t="s">
        <v>1350</v>
      </c>
      <c r="F117" s="621" t="s">
        <v>2065</v>
      </c>
    </row>
    <row r="118" spans="1:9" x14ac:dyDescent="0.25">
      <c r="A118" s="616" t="s">
        <v>332</v>
      </c>
      <c r="B118" s="616" t="s">
        <v>1857</v>
      </c>
      <c r="C118" s="616" t="s">
        <v>1934</v>
      </c>
      <c r="D118" s="616" t="s">
        <v>13</v>
      </c>
      <c r="E118" s="616" t="s">
        <v>1933</v>
      </c>
      <c r="F118" s="104" t="s">
        <v>206</v>
      </c>
    </row>
    <row r="119" spans="1:9" x14ac:dyDescent="0.25">
      <c r="A119" s="620">
        <f>A111+1</f>
        <v>77</v>
      </c>
      <c r="B119" s="620">
        <v>350.1</v>
      </c>
      <c r="C119" s="940">
        <v>0</v>
      </c>
      <c r="D119" s="926" t="s">
        <v>2193</v>
      </c>
      <c r="E119" s="940">
        <v>0</v>
      </c>
      <c r="F119" s="849" t="s">
        <v>2066</v>
      </c>
      <c r="H119" s="668"/>
      <c r="I119" s="666"/>
    </row>
    <row r="120" spans="1:9" x14ac:dyDescent="0.25">
      <c r="A120" s="620">
        <f>A119+1</f>
        <v>78</v>
      </c>
      <c r="B120" s="620">
        <v>350.2</v>
      </c>
      <c r="C120" s="940">
        <v>0</v>
      </c>
      <c r="D120" s="926" t="s">
        <v>2193</v>
      </c>
      <c r="E120" s="940">
        <v>0</v>
      </c>
      <c r="F120" s="849" t="s">
        <v>2067</v>
      </c>
      <c r="H120" s="668"/>
      <c r="I120" s="666"/>
    </row>
    <row r="121" spans="1:9" x14ac:dyDescent="0.25">
      <c r="A121" s="620">
        <f t="shared" ref="A121:A133" si="15">A120+1</f>
        <v>79</v>
      </c>
      <c r="B121" s="620">
        <v>352</v>
      </c>
      <c r="C121" s="940">
        <v>0</v>
      </c>
      <c r="D121" s="926" t="s">
        <v>2193</v>
      </c>
      <c r="E121" s="940">
        <v>0</v>
      </c>
      <c r="F121" s="849" t="s">
        <v>2068</v>
      </c>
      <c r="H121" s="668"/>
      <c r="I121" s="666"/>
    </row>
    <row r="122" spans="1:9" x14ac:dyDescent="0.25">
      <c r="A122" s="620">
        <f t="shared" si="15"/>
        <v>80</v>
      </c>
      <c r="B122" s="620">
        <v>353</v>
      </c>
      <c r="C122" s="940">
        <v>0</v>
      </c>
      <c r="D122" s="926" t="s">
        <v>2193</v>
      </c>
      <c r="E122" s="940">
        <v>0</v>
      </c>
      <c r="F122" s="849" t="s">
        <v>2069</v>
      </c>
      <c r="H122" s="668"/>
      <c r="I122" s="666"/>
    </row>
    <row r="123" spans="1:9" x14ac:dyDescent="0.25">
      <c r="A123" s="620">
        <f t="shared" si="15"/>
        <v>81</v>
      </c>
      <c r="B123" s="620">
        <v>354</v>
      </c>
      <c r="C123" s="940">
        <v>0</v>
      </c>
      <c r="D123" s="926" t="s">
        <v>2193</v>
      </c>
      <c r="E123" s="940">
        <v>0</v>
      </c>
      <c r="F123" s="849" t="s">
        <v>2070</v>
      </c>
      <c r="H123" s="668"/>
      <c r="I123" s="666"/>
    </row>
    <row r="124" spans="1:9" x14ac:dyDescent="0.25">
      <c r="A124" s="620">
        <f t="shared" si="15"/>
        <v>82</v>
      </c>
      <c r="B124" s="620">
        <v>355</v>
      </c>
      <c r="C124" s="940">
        <v>0</v>
      </c>
      <c r="D124" s="926" t="s">
        <v>2193</v>
      </c>
      <c r="E124" s="940">
        <v>0</v>
      </c>
      <c r="F124" s="849" t="s">
        <v>2071</v>
      </c>
      <c r="H124" s="668"/>
      <c r="I124" s="666"/>
    </row>
    <row r="125" spans="1:9" x14ac:dyDescent="0.25">
      <c r="A125" s="620">
        <f t="shared" si="15"/>
        <v>83</v>
      </c>
      <c r="B125" s="620">
        <v>356</v>
      </c>
      <c r="C125" s="940">
        <v>0</v>
      </c>
      <c r="D125" s="926" t="s">
        <v>2193</v>
      </c>
      <c r="E125" s="940">
        <v>0</v>
      </c>
      <c r="F125" s="849" t="s">
        <v>2072</v>
      </c>
      <c r="H125" s="668"/>
      <c r="I125" s="666"/>
    </row>
    <row r="126" spans="1:9" x14ac:dyDescent="0.25">
      <c r="A126" s="620">
        <f t="shared" si="15"/>
        <v>84</v>
      </c>
      <c r="B126" s="620">
        <v>357</v>
      </c>
      <c r="C126" s="940">
        <v>0</v>
      </c>
      <c r="D126" s="926" t="s">
        <v>2193</v>
      </c>
      <c r="E126" s="940">
        <v>0</v>
      </c>
      <c r="F126" s="849" t="s">
        <v>2073</v>
      </c>
      <c r="H126" s="668"/>
      <c r="I126" s="666"/>
    </row>
    <row r="127" spans="1:9" x14ac:dyDescent="0.25">
      <c r="A127" s="620">
        <f t="shared" si="15"/>
        <v>85</v>
      </c>
      <c r="B127" s="620">
        <v>358</v>
      </c>
      <c r="C127" s="940">
        <v>0</v>
      </c>
      <c r="D127" s="926" t="s">
        <v>2193</v>
      </c>
      <c r="E127" s="940">
        <v>0</v>
      </c>
      <c r="F127" s="849" t="s">
        <v>2074</v>
      </c>
      <c r="H127" s="668"/>
      <c r="I127" s="666"/>
    </row>
    <row r="128" spans="1:9" x14ac:dyDescent="0.25">
      <c r="A128" s="620">
        <f t="shared" si="15"/>
        <v>86</v>
      </c>
      <c r="B128" s="620">
        <v>359</v>
      </c>
      <c r="C128" s="940">
        <v>0</v>
      </c>
      <c r="D128" s="926" t="s">
        <v>2193</v>
      </c>
      <c r="E128" s="940">
        <v>0</v>
      </c>
      <c r="F128" s="849" t="s">
        <v>2075</v>
      </c>
      <c r="H128" s="668"/>
      <c r="I128" s="666"/>
    </row>
    <row r="129" spans="1:9" x14ac:dyDescent="0.25">
      <c r="A129" s="620">
        <f t="shared" si="15"/>
        <v>87</v>
      </c>
    </row>
    <row r="130" spans="1:9" x14ac:dyDescent="0.25">
      <c r="A130" s="620">
        <f t="shared" si="15"/>
        <v>88</v>
      </c>
      <c r="C130" s="634" t="s">
        <v>1935</v>
      </c>
      <c r="E130" s="940">
        <v>0</v>
      </c>
      <c r="F130" s="613" t="str">
        <f>"Sum of C"&amp;RIGHT(E115)&amp;" Lines "&amp;A119&amp;" to "&amp;A128</f>
        <v>Sum of C4 Lines 77 to 86</v>
      </c>
    </row>
    <row r="131" spans="1:9" x14ac:dyDescent="0.25">
      <c r="A131" s="620">
        <f t="shared" si="15"/>
        <v>89</v>
      </c>
      <c r="C131" s="613" t="str">
        <f>"Sum of Dec Prior Year Plant"</f>
        <v>Sum of Dec Prior Year Plant</v>
      </c>
      <c r="E131" s="940">
        <v>0</v>
      </c>
      <c r="F131" s="613" t="str">
        <f>"Sum of C"&amp;RIGHT(C115)&amp;" Lines "&amp;A119&amp;" to "&amp;A128</f>
        <v>Sum of C2 Lines 77 to 86</v>
      </c>
    </row>
    <row r="132" spans="1:9" x14ac:dyDescent="0.25">
      <c r="A132" s="620">
        <f t="shared" si="15"/>
        <v>90</v>
      </c>
    </row>
    <row r="133" spans="1:9" x14ac:dyDescent="0.25">
      <c r="A133" s="620">
        <f t="shared" si="15"/>
        <v>91</v>
      </c>
      <c r="C133" s="613" t="s">
        <v>1936</v>
      </c>
      <c r="E133" s="926" t="s">
        <v>2193</v>
      </c>
      <c r="F133" s="613" t="str">
        <f>"Line "&amp;A130&amp;" / Line "&amp;A131</f>
        <v>Line 88 / Line 89</v>
      </c>
    </row>
    <row r="134" spans="1:9" x14ac:dyDescent="0.25">
      <c r="A134" s="620"/>
    </row>
    <row r="135" spans="1:9" x14ac:dyDescent="0.25">
      <c r="A135" s="620"/>
      <c r="B135" s="612" t="s">
        <v>233</v>
      </c>
      <c r="C135"/>
      <c r="D135"/>
      <c r="E135"/>
      <c r="F135"/>
      <c r="G135"/>
      <c r="H135"/>
      <c r="I135"/>
    </row>
    <row r="136" spans="1:9" x14ac:dyDescent="0.25">
      <c r="A136" s="620"/>
      <c r="B136" s="608" t="s">
        <v>2092</v>
      </c>
      <c r="C136" s="641"/>
      <c r="D136" s="641"/>
      <c r="E136" s="641"/>
      <c r="F136" s="641"/>
      <c r="G136" s="641"/>
      <c r="H136" s="641"/>
      <c r="I136" s="641"/>
    </row>
    <row r="137" spans="1:9" x14ac:dyDescent="0.25">
      <c r="A137" s="620"/>
      <c r="B137" s="608" t="s">
        <v>2101</v>
      </c>
      <c r="C137"/>
      <c r="D137"/>
      <c r="E137"/>
      <c r="F137"/>
      <c r="G137"/>
      <c r="H137"/>
      <c r="I137"/>
    </row>
    <row r="138" spans="1:9" x14ac:dyDescent="0.25">
      <c r="A138" s="620"/>
    </row>
    <row r="139" spans="1:9" x14ac:dyDescent="0.25">
      <c r="A139" s="620"/>
    </row>
    <row r="140" spans="1:9" x14ac:dyDescent="0.25">
      <c r="A140" s="620"/>
    </row>
    <row r="141" spans="1:9" x14ac:dyDescent="0.25">
      <c r="A141" s="620"/>
    </row>
    <row r="142" spans="1:9" x14ac:dyDescent="0.25">
      <c r="A142" s="620"/>
    </row>
    <row r="143" spans="1:9" x14ac:dyDescent="0.25">
      <c r="A143" s="620"/>
    </row>
    <row r="144" spans="1:9" x14ac:dyDescent="0.25">
      <c r="A144" s="620"/>
    </row>
    <row r="145" spans="1:1" x14ac:dyDescent="0.25">
      <c r="A145" s="620"/>
    </row>
    <row r="146" spans="1:1" x14ac:dyDescent="0.25">
      <c r="A146" s="620"/>
    </row>
    <row r="147" spans="1:1" x14ac:dyDescent="0.25">
      <c r="A147" s="620"/>
    </row>
    <row r="148" spans="1:1" x14ac:dyDescent="0.25">
      <c r="A148" s="620"/>
    </row>
    <row r="149" spans="1:1" x14ac:dyDescent="0.25">
      <c r="A149" s="620"/>
    </row>
    <row r="150" spans="1:1" x14ac:dyDescent="0.25">
      <c r="A150" s="620"/>
    </row>
    <row r="151" spans="1:1" x14ac:dyDescent="0.25">
      <c r="A151" s="620"/>
    </row>
    <row r="152" spans="1:1" x14ac:dyDescent="0.25">
      <c r="A152" s="620"/>
    </row>
    <row r="153" spans="1:1" x14ac:dyDescent="0.25">
      <c r="A153" s="620"/>
    </row>
    <row r="154" spans="1:1" x14ac:dyDescent="0.25">
      <c r="A154" s="620"/>
    </row>
    <row r="155" spans="1:1" x14ac:dyDescent="0.25">
      <c r="A155" s="620"/>
    </row>
    <row r="156" spans="1:1" x14ac:dyDescent="0.25">
      <c r="A156" s="620"/>
    </row>
    <row r="157" spans="1:1" x14ac:dyDescent="0.25">
      <c r="A157" s="620"/>
    </row>
    <row r="158" spans="1:1" x14ac:dyDescent="0.25">
      <c r="A158" s="620"/>
    </row>
    <row r="159" spans="1:1" x14ac:dyDescent="0.25">
      <c r="A159" s="620"/>
    </row>
    <row r="160" spans="1:1" x14ac:dyDescent="0.25">
      <c r="A160" s="620"/>
    </row>
    <row r="161" spans="1:1" x14ac:dyDescent="0.25">
      <c r="A161" s="620"/>
    </row>
    <row r="162" spans="1:1" x14ac:dyDescent="0.25">
      <c r="A162" s="620"/>
    </row>
    <row r="163" spans="1:1" x14ac:dyDescent="0.25">
      <c r="A163" s="620"/>
    </row>
    <row r="164" spans="1:1" x14ac:dyDescent="0.25">
      <c r="A164" s="620"/>
    </row>
    <row r="165" spans="1:1" x14ac:dyDescent="0.25">
      <c r="A165" s="620"/>
    </row>
    <row r="166" spans="1:1" x14ac:dyDescent="0.25">
      <c r="A166" s="620"/>
    </row>
    <row r="167" spans="1:1" x14ac:dyDescent="0.25">
      <c r="A167" s="620"/>
    </row>
    <row r="168" spans="1:1" x14ac:dyDescent="0.25">
      <c r="A168" s="620"/>
    </row>
    <row r="169" spans="1:1" x14ac:dyDescent="0.25">
      <c r="A169" s="620"/>
    </row>
    <row r="170" spans="1:1" x14ac:dyDescent="0.25">
      <c r="A170" s="620"/>
    </row>
    <row r="171" spans="1:1" x14ac:dyDescent="0.25">
      <c r="A171" s="620"/>
    </row>
    <row r="172" spans="1:1" x14ac:dyDescent="0.25">
      <c r="A172" s="620"/>
    </row>
    <row r="173" spans="1:1" x14ac:dyDescent="0.25">
      <c r="A173" s="620"/>
    </row>
    <row r="174" spans="1:1" x14ac:dyDescent="0.25">
      <c r="A174" s="620"/>
    </row>
    <row r="175" spans="1:1" x14ac:dyDescent="0.25">
      <c r="A175" s="620"/>
    </row>
    <row r="176" spans="1:1" x14ac:dyDescent="0.25">
      <c r="A176" s="620"/>
    </row>
    <row r="177" spans="1:1" x14ac:dyDescent="0.25">
      <c r="A177" s="620"/>
    </row>
    <row r="178" spans="1:1" x14ac:dyDescent="0.25">
      <c r="A178" s="620"/>
    </row>
    <row r="179" spans="1:1" x14ac:dyDescent="0.25">
      <c r="A179" s="620"/>
    </row>
    <row r="180" spans="1:1" x14ac:dyDescent="0.25">
      <c r="A180" s="620"/>
    </row>
    <row r="181" spans="1:1" x14ac:dyDescent="0.25">
      <c r="A181" s="620"/>
    </row>
    <row r="182" spans="1:1" x14ac:dyDescent="0.25">
      <c r="A182" s="620"/>
    </row>
    <row r="183" spans="1:1" x14ac:dyDescent="0.25">
      <c r="A183" s="620"/>
    </row>
    <row r="184" spans="1:1" x14ac:dyDescent="0.25">
      <c r="A184" s="620"/>
    </row>
    <row r="185" spans="1:1" x14ac:dyDescent="0.25">
      <c r="A185" s="620"/>
    </row>
    <row r="186" spans="1:1" x14ac:dyDescent="0.25">
      <c r="A186" s="620"/>
    </row>
    <row r="187" spans="1:1" x14ac:dyDescent="0.25">
      <c r="A187" s="620"/>
    </row>
    <row r="188" spans="1:1" x14ac:dyDescent="0.25">
      <c r="A188" s="620"/>
    </row>
    <row r="189" spans="1:1" x14ac:dyDescent="0.25">
      <c r="A189" s="620"/>
    </row>
    <row r="190" spans="1:1" x14ac:dyDescent="0.25">
      <c r="A190" s="620"/>
    </row>
    <row r="191" spans="1:1" x14ac:dyDescent="0.25">
      <c r="A191" s="620"/>
    </row>
    <row r="192" spans="1:1" x14ac:dyDescent="0.25">
      <c r="A192" s="620"/>
    </row>
    <row r="193" spans="1:1" x14ac:dyDescent="0.25">
      <c r="A193" s="620"/>
    </row>
    <row r="194" spans="1:1" x14ac:dyDescent="0.25">
      <c r="A194" s="620"/>
    </row>
    <row r="195" spans="1:1" x14ac:dyDescent="0.25">
      <c r="A195" s="620"/>
    </row>
    <row r="196" spans="1:1" x14ac:dyDescent="0.25">
      <c r="A196" s="620"/>
    </row>
    <row r="197" spans="1:1" x14ac:dyDescent="0.25">
      <c r="A197" s="620"/>
    </row>
    <row r="198" spans="1:1" x14ac:dyDescent="0.25">
      <c r="A198" s="620"/>
    </row>
    <row r="199" spans="1:1" x14ac:dyDescent="0.25">
      <c r="A199" s="620"/>
    </row>
    <row r="200" spans="1:1" x14ac:dyDescent="0.25">
      <c r="A200" s="620"/>
    </row>
    <row r="201" spans="1:1" x14ac:dyDescent="0.25">
      <c r="A201" s="620"/>
    </row>
    <row r="202" spans="1:1" x14ac:dyDescent="0.25">
      <c r="A202" s="620"/>
    </row>
    <row r="203" spans="1:1" x14ac:dyDescent="0.25">
      <c r="A203" s="620"/>
    </row>
    <row r="204" spans="1:1" x14ac:dyDescent="0.25">
      <c r="A204" s="620"/>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253</v>
      </c>
      <c r="B1" s="202"/>
      <c r="C1" s="202"/>
      <c r="D1" s="202"/>
      <c r="E1" s="202"/>
      <c r="F1" s="202"/>
      <c r="G1" s="202"/>
      <c r="H1" s="202"/>
      <c r="I1" s="491" t="s">
        <v>452</v>
      </c>
      <c r="J1" s="157"/>
      <c r="K1" s="202"/>
      <c r="L1" s="202"/>
      <c r="M1" s="202"/>
    </row>
    <row r="2" spans="1:13" x14ac:dyDescent="0.25">
      <c r="A2" s="202"/>
      <c r="B2" s="202"/>
      <c r="C2" s="202"/>
      <c r="D2" s="202"/>
      <c r="E2" s="202"/>
      <c r="F2" s="202"/>
      <c r="G2" s="202"/>
      <c r="H2" s="202"/>
      <c r="K2" s="202"/>
      <c r="L2" s="202"/>
      <c r="M2" s="202"/>
    </row>
    <row r="3" spans="1:13" x14ac:dyDescent="0.25">
      <c r="A3" s="202"/>
      <c r="B3" s="1" t="s">
        <v>969</v>
      </c>
      <c r="C3" s="202"/>
      <c r="D3" s="202"/>
      <c r="E3" s="202"/>
      <c r="F3" s="202"/>
      <c r="G3" s="202"/>
      <c r="H3" s="208"/>
      <c r="I3" s="850" t="s">
        <v>1736</v>
      </c>
      <c r="J3" s="216" t="s">
        <v>1388</v>
      </c>
      <c r="K3" s="202"/>
      <c r="L3" s="202"/>
      <c r="M3" s="202"/>
    </row>
    <row r="4" spans="1:13" x14ac:dyDescent="0.25">
      <c r="A4" s="202"/>
      <c r="B4" s="202"/>
      <c r="C4" s="202"/>
      <c r="D4" s="202"/>
      <c r="E4" s="202"/>
      <c r="F4" s="202"/>
      <c r="G4" s="202"/>
      <c r="H4" s="208"/>
      <c r="I4" s="208"/>
      <c r="J4" s="202"/>
      <c r="K4" s="202"/>
      <c r="L4" s="202"/>
      <c r="M4" s="202"/>
    </row>
    <row r="5" spans="1:13" x14ac:dyDescent="0.25">
      <c r="A5" s="202"/>
      <c r="B5" s="443" t="s">
        <v>972</v>
      </c>
      <c r="C5" s="202"/>
      <c r="D5" s="202"/>
      <c r="E5" s="202"/>
      <c r="F5" s="202"/>
      <c r="G5" s="202"/>
      <c r="H5" s="445" t="s">
        <v>1790</v>
      </c>
      <c r="I5" s="208"/>
      <c r="J5" s="202"/>
      <c r="K5" s="202"/>
      <c r="L5" s="202"/>
      <c r="M5" s="202"/>
    </row>
    <row r="6" spans="1:13" x14ac:dyDescent="0.25">
      <c r="A6" s="202"/>
      <c r="B6" s="202"/>
      <c r="C6" s="202"/>
      <c r="D6" s="202"/>
      <c r="E6" s="202"/>
      <c r="F6" s="202"/>
      <c r="G6" s="202"/>
      <c r="H6" s="202"/>
      <c r="I6" s="202"/>
      <c r="J6" s="202"/>
      <c r="K6" s="202"/>
      <c r="L6" s="202"/>
      <c r="M6" s="202"/>
    </row>
    <row r="7" spans="1:13" x14ac:dyDescent="0.25">
      <c r="A7" s="202"/>
      <c r="B7" s="76" t="s">
        <v>363</v>
      </c>
      <c r="C7" s="76" t="s">
        <v>347</v>
      </c>
      <c r="D7" s="76" t="s">
        <v>348</v>
      </c>
      <c r="E7" s="76" t="s">
        <v>349</v>
      </c>
      <c r="F7" s="76" t="s">
        <v>350</v>
      </c>
      <c r="G7" s="76" t="s">
        <v>351</v>
      </c>
      <c r="H7" s="76" t="s">
        <v>352</v>
      </c>
      <c r="I7" s="76" t="s">
        <v>541</v>
      </c>
      <c r="J7" s="76" t="s">
        <v>955</v>
      </c>
      <c r="K7" s="76" t="s">
        <v>967</v>
      </c>
      <c r="L7" s="76" t="s">
        <v>970</v>
      </c>
      <c r="M7" s="76" t="s">
        <v>988</v>
      </c>
    </row>
    <row r="8" spans="1:13" x14ac:dyDescent="0.25">
      <c r="A8" s="202"/>
      <c r="B8" s="215"/>
      <c r="C8" s="202"/>
      <c r="D8" s="202"/>
      <c r="E8" s="202"/>
      <c r="F8" s="202"/>
      <c r="G8" s="202"/>
      <c r="H8" s="202"/>
      <c r="I8" s="202"/>
      <c r="J8" s="202"/>
      <c r="K8" s="202"/>
      <c r="L8" s="202"/>
      <c r="M8" s="202"/>
    </row>
    <row r="9" spans="1:13" x14ac:dyDescent="0.25">
      <c r="A9" s="202"/>
      <c r="B9" s="94"/>
      <c r="C9" s="492" t="s">
        <v>12</v>
      </c>
      <c r="D9" s="202"/>
      <c r="E9" s="202"/>
      <c r="F9" s="202"/>
      <c r="G9" s="202"/>
      <c r="H9" s="202"/>
      <c r="I9" s="202"/>
      <c r="J9" s="202"/>
      <c r="K9" s="202"/>
      <c r="L9" s="202"/>
      <c r="M9" s="202"/>
    </row>
    <row r="10" spans="1:13" x14ac:dyDescent="0.25">
      <c r="A10" s="202"/>
      <c r="B10" s="94"/>
      <c r="C10" s="492" t="s">
        <v>968</v>
      </c>
      <c r="D10" s="202"/>
      <c r="E10" s="202"/>
      <c r="F10" s="202"/>
      <c r="G10" s="202"/>
      <c r="H10" s="202"/>
      <c r="I10" s="202"/>
      <c r="J10" s="202"/>
      <c r="K10" s="202"/>
      <c r="L10" s="202"/>
      <c r="M10" s="202"/>
    </row>
    <row r="11" spans="1:13" x14ac:dyDescent="0.25">
      <c r="A11" s="44" t="s">
        <v>332</v>
      </c>
      <c r="B11" s="104" t="s">
        <v>1772</v>
      </c>
      <c r="C11" s="76">
        <v>350.1</v>
      </c>
      <c r="D11" s="76">
        <v>350.2</v>
      </c>
      <c r="E11" s="76">
        <v>352</v>
      </c>
      <c r="F11" s="76">
        <v>353</v>
      </c>
      <c r="G11" s="76">
        <v>354</v>
      </c>
      <c r="H11" s="76">
        <v>355</v>
      </c>
      <c r="I11" s="76">
        <v>356</v>
      </c>
      <c r="J11" s="76">
        <v>357</v>
      </c>
      <c r="K11" s="76">
        <v>358</v>
      </c>
      <c r="L11" s="76">
        <v>359</v>
      </c>
      <c r="M11" s="3" t="s">
        <v>197</v>
      </c>
    </row>
    <row r="12" spans="1:13" x14ac:dyDescent="0.25">
      <c r="A12" s="547">
        <v>1</v>
      </c>
      <c r="B12" s="934" t="s">
        <v>1388</v>
      </c>
      <c r="C12" s="940">
        <v>0</v>
      </c>
      <c r="D12" s="940">
        <v>0</v>
      </c>
      <c r="E12" s="940">
        <v>0</v>
      </c>
      <c r="F12" s="940">
        <v>0</v>
      </c>
      <c r="G12" s="940">
        <v>0</v>
      </c>
      <c r="H12" s="940">
        <v>0</v>
      </c>
      <c r="I12" s="940">
        <v>0</v>
      </c>
      <c r="J12" s="940">
        <v>0</v>
      </c>
      <c r="K12" s="940">
        <v>0</v>
      </c>
      <c r="L12" s="940">
        <v>0</v>
      </c>
      <c r="M12" s="940">
        <v>0</v>
      </c>
    </row>
    <row r="13" spans="1:13" x14ac:dyDescent="0.25">
      <c r="A13" s="547">
        <f>A12+1</f>
        <v>2</v>
      </c>
      <c r="B13" s="934" t="s">
        <v>1388</v>
      </c>
      <c r="C13" s="940">
        <v>0</v>
      </c>
      <c r="D13" s="940">
        <v>0</v>
      </c>
      <c r="E13" s="940">
        <v>0</v>
      </c>
      <c r="F13" s="940">
        <v>0</v>
      </c>
      <c r="G13" s="940">
        <v>0</v>
      </c>
      <c r="H13" s="940">
        <v>0</v>
      </c>
      <c r="I13" s="940">
        <v>0</v>
      </c>
      <c r="J13" s="940">
        <v>0</v>
      </c>
      <c r="K13" s="940">
        <v>0</v>
      </c>
      <c r="L13" s="940">
        <v>0</v>
      </c>
      <c r="M13" s="940">
        <v>0</v>
      </c>
    </row>
    <row r="14" spans="1:13" x14ac:dyDescent="0.25">
      <c r="A14" s="547">
        <f t="shared" ref="A14:A77" si="0">A13+1</f>
        <v>3</v>
      </c>
      <c r="B14" s="934" t="s">
        <v>1388</v>
      </c>
      <c r="C14" s="940">
        <v>0</v>
      </c>
      <c r="D14" s="940">
        <v>0</v>
      </c>
      <c r="E14" s="940">
        <v>0</v>
      </c>
      <c r="F14" s="940">
        <v>0</v>
      </c>
      <c r="G14" s="940">
        <v>0</v>
      </c>
      <c r="H14" s="940">
        <v>0</v>
      </c>
      <c r="I14" s="940">
        <v>0</v>
      </c>
      <c r="J14" s="940">
        <v>0</v>
      </c>
      <c r="K14" s="940">
        <v>0</v>
      </c>
      <c r="L14" s="940">
        <v>0</v>
      </c>
      <c r="M14" s="940">
        <v>0</v>
      </c>
    </row>
    <row r="15" spans="1:13" x14ac:dyDescent="0.25">
      <c r="A15" s="547">
        <f t="shared" si="0"/>
        <v>4</v>
      </c>
      <c r="B15" s="934" t="s">
        <v>1388</v>
      </c>
      <c r="C15" s="940">
        <v>0</v>
      </c>
      <c r="D15" s="940">
        <v>0</v>
      </c>
      <c r="E15" s="940">
        <v>0</v>
      </c>
      <c r="F15" s="940">
        <v>0</v>
      </c>
      <c r="G15" s="940">
        <v>0</v>
      </c>
      <c r="H15" s="940">
        <v>0</v>
      </c>
      <c r="I15" s="940">
        <v>0</v>
      </c>
      <c r="J15" s="940">
        <v>0</v>
      </c>
      <c r="K15" s="940">
        <v>0</v>
      </c>
      <c r="L15" s="940">
        <v>0</v>
      </c>
      <c r="M15" s="940">
        <v>0</v>
      </c>
    </row>
    <row r="16" spans="1:13" x14ac:dyDescent="0.25">
      <c r="A16" s="547">
        <f t="shared" si="0"/>
        <v>5</v>
      </c>
      <c r="B16" s="934" t="s">
        <v>1388</v>
      </c>
      <c r="C16" s="940">
        <v>0</v>
      </c>
      <c r="D16" s="940">
        <v>0</v>
      </c>
      <c r="E16" s="940">
        <v>0</v>
      </c>
      <c r="F16" s="940">
        <v>0</v>
      </c>
      <c r="G16" s="940">
        <v>0</v>
      </c>
      <c r="H16" s="940">
        <v>0</v>
      </c>
      <c r="I16" s="940">
        <v>0</v>
      </c>
      <c r="J16" s="940">
        <v>0</v>
      </c>
      <c r="K16" s="940">
        <v>0</v>
      </c>
      <c r="L16" s="940">
        <v>0</v>
      </c>
      <c r="M16" s="940">
        <v>0</v>
      </c>
    </row>
    <row r="17" spans="1:13" x14ac:dyDescent="0.25">
      <c r="A17" s="547">
        <f t="shared" si="0"/>
        <v>6</v>
      </c>
      <c r="B17" s="934" t="s">
        <v>1388</v>
      </c>
      <c r="C17" s="940">
        <v>0</v>
      </c>
      <c r="D17" s="940">
        <v>0</v>
      </c>
      <c r="E17" s="940">
        <v>0</v>
      </c>
      <c r="F17" s="940">
        <v>0</v>
      </c>
      <c r="G17" s="940">
        <v>0</v>
      </c>
      <c r="H17" s="940">
        <v>0</v>
      </c>
      <c r="I17" s="940">
        <v>0</v>
      </c>
      <c r="J17" s="940">
        <v>0</v>
      </c>
      <c r="K17" s="940">
        <v>0</v>
      </c>
      <c r="L17" s="940">
        <v>0</v>
      </c>
      <c r="M17" s="940">
        <v>0</v>
      </c>
    </row>
    <row r="18" spans="1:13" x14ac:dyDescent="0.25">
      <c r="A18" s="547">
        <f t="shared" si="0"/>
        <v>7</v>
      </c>
      <c r="B18" s="934" t="s">
        <v>1388</v>
      </c>
      <c r="C18" s="940">
        <v>0</v>
      </c>
      <c r="D18" s="940">
        <v>0</v>
      </c>
      <c r="E18" s="940">
        <v>0</v>
      </c>
      <c r="F18" s="940">
        <v>0</v>
      </c>
      <c r="G18" s="940">
        <v>0</v>
      </c>
      <c r="H18" s="940">
        <v>0</v>
      </c>
      <c r="I18" s="940">
        <v>0</v>
      </c>
      <c r="J18" s="940">
        <v>0</v>
      </c>
      <c r="K18" s="940">
        <v>0</v>
      </c>
      <c r="L18" s="940">
        <v>0</v>
      </c>
      <c r="M18" s="940">
        <v>0</v>
      </c>
    </row>
    <row r="19" spans="1:13" x14ac:dyDescent="0.25">
      <c r="A19" s="547">
        <f t="shared" si="0"/>
        <v>8</v>
      </c>
      <c r="B19" s="934" t="s">
        <v>1388</v>
      </c>
      <c r="C19" s="940">
        <v>0</v>
      </c>
      <c r="D19" s="940">
        <v>0</v>
      </c>
      <c r="E19" s="940">
        <v>0</v>
      </c>
      <c r="F19" s="940">
        <v>0</v>
      </c>
      <c r="G19" s="940">
        <v>0</v>
      </c>
      <c r="H19" s="940">
        <v>0</v>
      </c>
      <c r="I19" s="940">
        <v>0</v>
      </c>
      <c r="J19" s="940">
        <v>0</v>
      </c>
      <c r="K19" s="940">
        <v>0</v>
      </c>
      <c r="L19" s="940">
        <v>0</v>
      </c>
      <c r="M19" s="940">
        <v>0</v>
      </c>
    </row>
    <row r="20" spans="1:13" x14ac:dyDescent="0.25">
      <c r="A20" s="547">
        <f t="shared" si="0"/>
        <v>9</v>
      </c>
      <c r="B20" s="934" t="s">
        <v>1388</v>
      </c>
      <c r="C20" s="940">
        <v>0</v>
      </c>
      <c r="D20" s="940">
        <v>0</v>
      </c>
      <c r="E20" s="940">
        <v>0</v>
      </c>
      <c r="F20" s="940">
        <v>0</v>
      </c>
      <c r="G20" s="940">
        <v>0</v>
      </c>
      <c r="H20" s="940">
        <v>0</v>
      </c>
      <c r="I20" s="940">
        <v>0</v>
      </c>
      <c r="J20" s="940">
        <v>0</v>
      </c>
      <c r="K20" s="940">
        <v>0</v>
      </c>
      <c r="L20" s="940">
        <v>0</v>
      </c>
      <c r="M20" s="940">
        <v>0</v>
      </c>
    </row>
    <row r="21" spans="1:13" x14ac:dyDescent="0.25">
      <c r="A21" s="547">
        <f t="shared" si="0"/>
        <v>10</v>
      </c>
      <c r="B21" s="934" t="s">
        <v>1388</v>
      </c>
      <c r="C21" s="940">
        <v>0</v>
      </c>
      <c r="D21" s="940">
        <v>0</v>
      </c>
      <c r="E21" s="940">
        <v>0</v>
      </c>
      <c r="F21" s="940">
        <v>0</v>
      </c>
      <c r="G21" s="940">
        <v>0</v>
      </c>
      <c r="H21" s="940">
        <v>0</v>
      </c>
      <c r="I21" s="940">
        <v>0</v>
      </c>
      <c r="J21" s="940">
        <v>0</v>
      </c>
      <c r="K21" s="940">
        <v>0</v>
      </c>
      <c r="L21" s="940">
        <v>0</v>
      </c>
      <c r="M21" s="940">
        <v>0</v>
      </c>
    </row>
    <row r="22" spans="1:13" x14ac:dyDescent="0.25">
      <c r="A22" s="547">
        <f t="shared" si="0"/>
        <v>11</v>
      </c>
      <c r="B22" s="934" t="s">
        <v>1388</v>
      </c>
      <c r="C22" s="940">
        <v>0</v>
      </c>
      <c r="D22" s="940">
        <v>0</v>
      </c>
      <c r="E22" s="940">
        <v>0</v>
      </c>
      <c r="F22" s="940">
        <v>0</v>
      </c>
      <c r="G22" s="940">
        <v>0</v>
      </c>
      <c r="H22" s="940">
        <v>0</v>
      </c>
      <c r="I22" s="940">
        <v>0</v>
      </c>
      <c r="J22" s="940">
        <v>0</v>
      </c>
      <c r="K22" s="940">
        <v>0</v>
      </c>
      <c r="L22" s="940">
        <v>0</v>
      </c>
      <c r="M22" s="940">
        <v>0</v>
      </c>
    </row>
    <row r="23" spans="1:13" x14ac:dyDescent="0.25">
      <c r="A23" s="547">
        <f t="shared" si="0"/>
        <v>12</v>
      </c>
      <c r="B23" s="934" t="s">
        <v>1388</v>
      </c>
      <c r="C23" s="940">
        <v>0</v>
      </c>
      <c r="D23" s="940">
        <v>0</v>
      </c>
      <c r="E23" s="940">
        <v>0</v>
      </c>
      <c r="F23" s="940">
        <v>0</v>
      </c>
      <c r="G23" s="940">
        <v>0</v>
      </c>
      <c r="H23" s="940">
        <v>0</v>
      </c>
      <c r="I23" s="940">
        <v>0</v>
      </c>
      <c r="J23" s="940">
        <v>0</v>
      </c>
      <c r="K23" s="940">
        <v>0</v>
      </c>
      <c r="L23" s="940">
        <v>0</v>
      </c>
      <c r="M23" s="940">
        <v>0</v>
      </c>
    </row>
    <row r="24" spans="1:13" x14ac:dyDescent="0.25">
      <c r="A24" s="547">
        <f t="shared" si="0"/>
        <v>13</v>
      </c>
      <c r="B24" s="934" t="s">
        <v>1388</v>
      </c>
      <c r="C24" s="940">
        <v>0</v>
      </c>
      <c r="D24" s="940">
        <v>0</v>
      </c>
      <c r="E24" s="940">
        <v>0</v>
      </c>
      <c r="F24" s="940">
        <v>0</v>
      </c>
      <c r="G24" s="940">
        <v>0</v>
      </c>
      <c r="H24" s="940">
        <v>0</v>
      </c>
      <c r="I24" s="940">
        <v>0</v>
      </c>
      <c r="J24" s="940">
        <v>0</v>
      </c>
      <c r="K24" s="940">
        <v>0</v>
      </c>
      <c r="L24" s="940">
        <v>0</v>
      </c>
      <c r="M24" s="940">
        <v>0</v>
      </c>
    </row>
    <row r="25" spans="1:13" x14ac:dyDescent="0.25">
      <c r="A25" s="547">
        <f t="shared" si="0"/>
        <v>14</v>
      </c>
      <c r="B25" s="202"/>
      <c r="C25" s="202"/>
      <c r="D25" s="202"/>
      <c r="E25" s="202"/>
      <c r="F25" s="202"/>
      <c r="G25" s="202"/>
      <c r="H25" s="202"/>
      <c r="I25" s="202"/>
      <c r="J25" s="202"/>
      <c r="K25" s="202"/>
      <c r="L25" s="202"/>
      <c r="M25" s="202"/>
    </row>
    <row r="26" spans="1:13" x14ac:dyDescent="0.25">
      <c r="A26" s="547">
        <f t="shared" si="0"/>
        <v>15</v>
      </c>
      <c r="B26" s="608" t="s">
        <v>2045</v>
      </c>
      <c r="C26" s="208"/>
      <c r="D26" s="208"/>
      <c r="E26" s="208"/>
      <c r="F26" s="208"/>
      <c r="G26" s="208"/>
      <c r="H26" s="208"/>
      <c r="I26" s="202"/>
      <c r="J26" s="202"/>
      <c r="K26" s="202"/>
      <c r="L26" s="202"/>
      <c r="M26" s="202"/>
    </row>
    <row r="27" spans="1:13" x14ac:dyDescent="0.25">
      <c r="A27" s="547"/>
      <c r="B27" s="94"/>
      <c r="C27" s="208"/>
      <c r="D27" s="208"/>
      <c r="E27" s="208"/>
      <c r="F27" s="208"/>
      <c r="G27" s="202"/>
      <c r="H27" s="202"/>
      <c r="I27" s="202"/>
      <c r="J27" s="202"/>
      <c r="K27" s="202"/>
      <c r="L27" s="202"/>
      <c r="M27" s="202"/>
    </row>
    <row r="28" spans="1:13" x14ac:dyDescent="0.25">
      <c r="A28" s="547"/>
      <c r="B28" s="94"/>
      <c r="C28" s="208"/>
      <c r="D28" s="208"/>
      <c r="E28" s="208"/>
      <c r="F28" s="208"/>
      <c r="G28" s="202"/>
      <c r="H28" s="202"/>
      <c r="I28" s="202"/>
      <c r="J28" s="202"/>
      <c r="K28" s="202"/>
      <c r="L28" s="202"/>
      <c r="M28" s="202"/>
    </row>
    <row r="29" spans="1:13" x14ac:dyDescent="0.25">
      <c r="A29" s="547">
        <f>A26+1</f>
        <v>16</v>
      </c>
      <c r="B29" s="104" t="s">
        <v>1772</v>
      </c>
      <c r="C29" s="318">
        <v>350.1</v>
      </c>
      <c r="D29" s="318">
        <v>350.2</v>
      </c>
      <c r="E29" s="318">
        <v>352</v>
      </c>
      <c r="F29" s="318">
        <v>353</v>
      </c>
      <c r="G29" s="76">
        <v>354</v>
      </c>
      <c r="H29" s="76">
        <v>355</v>
      </c>
      <c r="I29" s="76">
        <v>356</v>
      </c>
      <c r="J29" s="76">
        <v>357</v>
      </c>
      <c r="K29" s="76">
        <v>358</v>
      </c>
      <c r="L29" s="76">
        <v>359</v>
      </c>
      <c r="M29" s="3"/>
    </row>
    <row r="30" spans="1:13" x14ac:dyDescent="0.25">
      <c r="A30" s="547" t="s">
        <v>2046</v>
      </c>
      <c r="B30" s="934" t="s">
        <v>1388</v>
      </c>
      <c r="C30" s="935" t="s">
        <v>2193</v>
      </c>
      <c r="D30" s="935" t="s">
        <v>2193</v>
      </c>
      <c r="E30" s="935" t="s">
        <v>2193</v>
      </c>
      <c r="F30" s="935" t="s">
        <v>2193</v>
      </c>
      <c r="G30" s="935" t="s">
        <v>2193</v>
      </c>
      <c r="H30" s="935" t="s">
        <v>2193</v>
      </c>
      <c r="I30" s="935" t="s">
        <v>2193</v>
      </c>
      <c r="J30" s="935" t="s">
        <v>2193</v>
      </c>
      <c r="K30" s="935" t="s">
        <v>2193</v>
      </c>
      <c r="L30" s="935" t="s">
        <v>2193</v>
      </c>
      <c r="M30" s="202"/>
    </row>
    <row r="31" spans="1:13" x14ac:dyDescent="0.25">
      <c r="A31" s="547" t="s">
        <v>2047</v>
      </c>
      <c r="B31" s="934" t="s">
        <v>1388</v>
      </c>
      <c r="C31" s="935" t="s">
        <v>2193</v>
      </c>
      <c r="D31" s="935" t="s">
        <v>2193</v>
      </c>
      <c r="E31" s="935" t="s">
        <v>2193</v>
      </c>
      <c r="F31" s="935" t="s">
        <v>2193</v>
      </c>
      <c r="G31" s="935" t="s">
        <v>2193</v>
      </c>
      <c r="H31" s="935" t="s">
        <v>2193</v>
      </c>
      <c r="I31" s="935" t="s">
        <v>2193</v>
      </c>
      <c r="J31" s="935" t="s">
        <v>2193</v>
      </c>
      <c r="K31" s="935" t="s">
        <v>2193</v>
      </c>
      <c r="L31" s="935" t="s">
        <v>2193</v>
      </c>
      <c r="M31" s="202"/>
    </row>
    <row r="32" spans="1:13" x14ac:dyDescent="0.25">
      <c r="A32" s="547" t="s">
        <v>2048</v>
      </c>
      <c r="B32" s="934" t="s">
        <v>1388</v>
      </c>
      <c r="C32" s="935" t="s">
        <v>2193</v>
      </c>
      <c r="D32" s="935" t="s">
        <v>2193</v>
      </c>
      <c r="E32" s="935" t="s">
        <v>2193</v>
      </c>
      <c r="F32" s="935" t="s">
        <v>2193</v>
      </c>
      <c r="G32" s="935" t="s">
        <v>2193</v>
      </c>
      <c r="H32" s="935" t="s">
        <v>2193</v>
      </c>
      <c r="I32" s="935" t="s">
        <v>2193</v>
      </c>
      <c r="J32" s="935" t="s">
        <v>2193</v>
      </c>
      <c r="K32" s="935" t="s">
        <v>2193</v>
      </c>
      <c r="L32" s="935" t="s">
        <v>2193</v>
      </c>
      <c r="M32" s="202"/>
    </row>
    <row r="33" spans="1:13" x14ac:dyDescent="0.25">
      <c r="A33" s="547" t="s">
        <v>2049</v>
      </c>
      <c r="B33" s="934" t="s">
        <v>1388</v>
      </c>
      <c r="C33" s="935" t="s">
        <v>2193</v>
      </c>
      <c r="D33" s="935" t="s">
        <v>2193</v>
      </c>
      <c r="E33" s="935" t="s">
        <v>2193</v>
      </c>
      <c r="F33" s="935" t="s">
        <v>2193</v>
      </c>
      <c r="G33" s="935" t="s">
        <v>2193</v>
      </c>
      <c r="H33" s="935" t="s">
        <v>2193</v>
      </c>
      <c r="I33" s="935" t="s">
        <v>2193</v>
      </c>
      <c r="J33" s="935" t="s">
        <v>2193</v>
      </c>
      <c r="K33" s="935" t="s">
        <v>2193</v>
      </c>
      <c r="L33" s="935" t="s">
        <v>2193</v>
      </c>
      <c r="M33" s="202"/>
    </row>
    <row r="34" spans="1:13" x14ac:dyDescent="0.25">
      <c r="A34" s="547" t="s">
        <v>2050</v>
      </c>
      <c r="B34" s="934" t="s">
        <v>1388</v>
      </c>
      <c r="C34" s="935" t="s">
        <v>2193</v>
      </c>
      <c r="D34" s="935" t="s">
        <v>2193</v>
      </c>
      <c r="E34" s="935" t="s">
        <v>2193</v>
      </c>
      <c r="F34" s="935" t="s">
        <v>2193</v>
      </c>
      <c r="G34" s="935" t="s">
        <v>2193</v>
      </c>
      <c r="H34" s="935" t="s">
        <v>2193</v>
      </c>
      <c r="I34" s="935" t="s">
        <v>2193</v>
      </c>
      <c r="J34" s="935" t="s">
        <v>2193</v>
      </c>
      <c r="K34" s="935" t="s">
        <v>2193</v>
      </c>
      <c r="L34" s="935" t="s">
        <v>2193</v>
      </c>
      <c r="M34" s="202"/>
    </row>
    <row r="35" spans="1:13" x14ac:dyDescent="0.25">
      <c r="A35" s="547" t="s">
        <v>2051</v>
      </c>
      <c r="B35" s="934" t="s">
        <v>1388</v>
      </c>
      <c r="C35" s="935" t="s">
        <v>2193</v>
      </c>
      <c r="D35" s="935" t="s">
        <v>2193</v>
      </c>
      <c r="E35" s="935" t="s">
        <v>2193</v>
      </c>
      <c r="F35" s="935" t="s">
        <v>2193</v>
      </c>
      <c r="G35" s="935" t="s">
        <v>2193</v>
      </c>
      <c r="H35" s="935" t="s">
        <v>2193</v>
      </c>
      <c r="I35" s="935" t="s">
        <v>2193</v>
      </c>
      <c r="J35" s="935" t="s">
        <v>2193</v>
      </c>
      <c r="K35" s="935" t="s">
        <v>2193</v>
      </c>
      <c r="L35" s="935" t="s">
        <v>2193</v>
      </c>
      <c r="M35" s="202"/>
    </row>
    <row r="36" spans="1:13" x14ac:dyDescent="0.25">
      <c r="A36" s="547" t="s">
        <v>2052</v>
      </c>
      <c r="B36" s="934" t="s">
        <v>1388</v>
      </c>
      <c r="C36" s="935" t="s">
        <v>2193</v>
      </c>
      <c r="D36" s="935" t="s">
        <v>2193</v>
      </c>
      <c r="E36" s="935" t="s">
        <v>2193</v>
      </c>
      <c r="F36" s="935" t="s">
        <v>2193</v>
      </c>
      <c r="G36" s="935" t="s">
        <v>2193</v>
      </c>
      <c r="H36" s="935" t="s">
        <v>2193</v>
      </c>
      <c r="I36" s="935" t="s">
        <v>2193</v>
      </c>
      <c r="J36" s="935" t="s">
        <v>2193</v>
      </c>
      <c r="K36" s="935" t="s">
        <v>2193</v>
      </c>
      <c r="L36" s="935" t="s">
        <v>2193</v>
      </c>
      <c r="M36" s="202"/>
    </row>
    <row r="37" spans="1:13" x14ac:dyDescent="0.25">
      <c r="A37" s="547" t="s">
        <v>2053</v>
      </c>
      <c r="B37" s="934" t="s">
        <v>1388</v>
      </c>
      <c r="C37" s="935" t="s">
        <v>2193</v>
      </c>
      <c r="D37" s="935" t="s">
        <v>2193</v>
      </c>
      <c r="E37" s="935" t="s">
        <v>2193</v>
      </c>
      <c r="F37" s="935" t="s">
        <v>2193</v>
      </c>
      <c r="G37" s="935" t="s">
        <v>2193</v>
      </c>
      <c r="H37" s="935" t="s">
        <v>2193</v>
      </c>
      <c r="I37" s="935" t="s">
        <v>2193</v>
      </c>
      <c r="J37" s="935" t="s">
        <v>2193</v>
      </c>
      <c r="K37" s="935" t="s">
        <v>2193</v>
      </c>
      <c r="L37" s="935" t="s">
        <v>2193</v>
      </c>
      <c r="M37" s="202"/>
    </row>
    <row r="38" spans="1:13" x14ac:dyDescent="0.25">
      <c r="A38" s="547" t="s">
        <v>2054</v>
      </c>
      <c r="B38" s="934" t="s">
        <v>1388</v>
      </c>
      <c r="C38" s="935" t="s">
        <v>2193</v>
      </c>
      <c r="D38" s="935" t="s">
        <v>2193</v>
      </c>
      <c r="E38" s="935" t="s">
        <v>2193</v>
      </c>
      <c r="F38" s="935" t="s">
        <v>2193</v>
      </c>
      <c r="G38" s="935" t="s">
        <v>2193</v>
      </c>
      <c r="H38" s="935" t="s">
        <v>2193</v>
      </c>
      <c r="I38" s="935" t="s">
        <v>2193</v>
      </c>
      <c r="J38" s="935" t="s">
        <v>2193</v>
      </c>
      <c r="K38" s="935" t="s">
        <v>2193</v>
      </c>
      <c r="L38" s="935" t="s">
        <v>2193</v>
      </c>
      <c r="M38" s="202"/>
    </row>
    <row r="39" spans="1:13" x14ac:dyDescent="0.25">
      <c r="A39" s="547" t="s">
        <v>2055</v>
      </c>
      <c r="B39" s="934" t="s">
        <v>1388</v>
      </c>
      <c r="C39" s="935" t="s">
        <v>2193</v>
      </c>
      <c r="D39" s="935" t="s">
        <v>2193</v>
      </c>
      <c r="E39" s="935" t="s">
        <v>2193</v>
      </c>
      <c r="F39" s="935" t="s">
        <v>2193</v>
      </c>
      <c r="G39" s="935" t="s">
        <v>2193</v>
      </c>
      <c r="H39" s="935" t="s">
        <v>2193</v>
      </c>
      <c r="I39" s="935" t="s">
        <v>2193</v>
      </c>
      <c r="J39" s="935" t="s">
        <v>2193</v>
      </c>
      <c r="K39" s="935" t="s">
        <v>2193</v>
      </c>
      <c r="L39" s="935" t="s">
        <v>2193</v>
      </c>
      <c r="M39" s="202"/>
    </row>
    <row r="40" spans="1:13" x14ac:dyDescent="0.25">
      <c r="A40" s="547" t="s">
        <v>2056</v>
      </c>
      <c r="B40" s="934" t="s">
        <v>1388</v>
      </c>
      <c r="C40" s="935" t="s">
        <v>2193</v>
      </c>
      <c r="D40" s="935" t="s">
        <v>2193</v>
      </c>
      <c r="E40" s="935" t="s">
        <v>2193</v>
      </c>
      <c r="F40" s="935" t="s">
        <v>2193</v>
      </c>
      <c r="G40" s="935" t="s">
        <v>2193</v>
      </c>
      <c r="H40" s="935" t="s">
        <v>2193</v>
      </c>
      <c r="I40" s="935" t="s">
        <v>2193</v>
      </c>
      <c r="J40" s="935" t="s">
        <v>2193</v>
      </c>
      <c r="K40" s="935" t="s">
        <v>2193</v>
      </c>
      <c r="L40" s="935" t="s">
        <v>2193</v>
      </c>
      <c r="M40" s="202"/>
    </row>
    <row r="41" spans="1:13" x14ac:dyDescent="0.25">
      <c r="A41" s="547" t="s">
        <v>2057</v>
      </c>
      <c r="B41" s="934" t="s">
        <v>1388</v>
      </c>
      <c r="C41" s="935" t="s">
        <v>2193</v>
      </c>
      <c r="D41" s="935" t="s">
        <v>2193</v>
      </c>
      <c r="E41" s="935" t="s">
        <v>2193</v>
      </c>
      <c r="F41" s="935" t="s">
        <v>2193</v>
      </c>
      <c r="G41" s="935" t="s">
        <v>2193</v>
      </c>
      <c r="H41" s="935" t="s">
        <v>2193</v>
      </c>
      <c r="I41" s="935" t="s">
        <v>2193</v>
      </c>
      <c r="J41" s="935" t="s">
        <v>2193</v>
      </c>
      <c r="K41" s="935" t="s">
        <v>2193</v>
      </c>
      <c r="L41" s="935" t="s">
        <v>2193</v>
      </c>
      <c r="M41" s="202"/>
    </row>
    <row r="42" spans="1:13" x14ac:dyDescent="0.25">
      <c r="A42" s="547" t="s">
        <v>2058</v>
      </c>
      <c r="B42" s="934" t="s">
        <v>1388</v>
      </c>
      <c r="C42" s="935" t="s">
        <v>2193</v>
      </c>
      <c r="D42" s="935" t="s">
        <v>2193</v>
      </c>
      <c r="E42" s="935" t="s">
        <v>2193</v>
      </c>
      <c r="F42" s="935" t="s">
        <v>2193</v>
      </c>
      <c r="G42" s="935" t="s">
        <v>2193</v>
      </c>
      <c r="H42" s="935" t="s">
        <v>2193</v>
      </c>
      <c r="I42" s="935" t="s">
        <v>2193</v>
      </c>
      <c r="J42" s="935" t="s">
        <v>2193</v>
      </c>
      <c r="K42" s="935" t="s">
        <v>2193</v>
      </c>
      <c r="L42" s="935" t="s">
        <v>2193</v>
      </c>
      <c r="M42" s="202"/>
    </row>
    <row r="43" spans="1:13" x14ac:dyDescent="0.25">
      <c r="A43" s="547">
        <v>18</v>
      </c>
      <c r="C43" s="324"/>
      <c r="D43" s="324"/>
      <c r="E43" s="324"/>
      <c r="F43" s="324"/>
      <c r="G43" s="324"/>
      <c r="H43" s="324"/>
      <c r="I43" s="324"/>
      <c r="J43" s="324"/>
      <c r="K43" s="324"/>
      <c r="L43" s="324"/>
      <c r="M43" s="202"/>
    </row>
    <row r="44" spans="1:13" x14ac:dyDescent="0.25">
      <c r="A44" s="547">
        <f t="shared" si="0"/>
        <v>19</v>
      </c>
      <c r="B44" s="445" t="s">
        <v>971</v>
      </c>
      <c r="C44" s="209"/>
      <c r="D44" s="209"/>
      <c r="E44" s="209"/>
      <c r="F44" s="209"/>
      <c r="G44" s="490" t="s">
        <v>1707</v>
      </c>
      <c r="H44" s="209"/>
      <c r="I44" s="324"/>
      <c r="J44" s="324"/>
      <c r="K44" s="324"/>
      <c r="L44" s="324"/>
      <c r="M44" s="202"/>
    </row>
    <row r="45" spans="1:13" x14ac:dyDescent="0.25">
      <c r="A45" s="547">
        <f t="shared" si="0"/>
        <v>20</v>
      </c>
      <c r="B45" s="208"/>
      <c r="C45" s="208"/>
      <c r="D45" s="208"/>
      <c r="E45" s="208"/>
      <c r="F45" s="208"/>
      <c r="G45" s="208"/>
      <c r="H45" s="208"/>
      <c r="I45" s="202"/>
      <c r="J45" s="202"/>
      <c r="K45" s="202"/>
      <c r="L45" s="202"/>
      <c r="M45" s="202"/>
    </row>
    <row r="46" spans="1:13" x14ac:dyDescent="0.25">
      <c r="A46" s="547">
        <f t="shared" si="0"/>
        <v>21</v>
      </c>
      <c r="B46" s="94"/>
      <c r="C46" s="828" t="s">
        <v>12</v>
      </c>
      <c r="D46" s="208"/>
      <c r="E46" s="208"/>
      <c r="F46" s="208"/>
      <c r="G46" s="208"/>
      <c r="H46" s="208"/>
      <c r="I46" s="202"/>
      <c r="J46" s="202"/>
      <c r="K46" s="202"/>
      <c r="L46" s="202"/>
      <c r="M46" s="202"/>
    </row>
    <row r="47" spans="1:13" x14ac:dyDescent="0.25">
      <c r="A47" s="547">
        <f t="shared" si="0"/>
        <v>22</v>
      </c>
      <c r="B47" s="94"/>
      <c r="C47" s="828" t="s">
        <v>968</v>
      </c>
      <c r="D47" s="208"/>
      <c r="E47" s="208"/>
      <c r="F47" s="208"/>
      <c r="G47" s="208"/>
      <c r="H47" s="208"/>
      <c r="I47" s="202"/>
      <c r="J47" s="202"/>
      <c r="K47" s="202"/>
      <c r="L47" s="202"/>
      <c r="M47" s="547" t="s">
        <v>193</v>
      </c>
    </row>
    <row r="48" spans="1:13" x14ac:dyDescent="0.25">
      <c r="A48" s="547">
        <f t="shared" si="0"/>
        <v>23</v>
      </c>
      <c r="B48" s="104" t="s">
        <v>1772</v>
      </c>
      <c r="C48" s="318">
        <v>350.1</v>
      </c>
      <c r="D48" s="318">
        <v>350.2</v>
      </c>
      <c r="E48" s="318">
        <v>352</v>
      </c>
      <c r="F48" s="318">
        <v>353</v>
      </c>
      <c r="G48" s="318">
        <v>354</v>
      </c>
      <c r="H48" s="318">
        <v>355</v>
      </c>
      <c r="I48" s="76">
        <v>356</v>
      </c>
      <c r="J48" s="76">
        <v>357</v>
      </c>
      <c r="K48" s="76">
        <v>358</v>
      </c>
      <c r="L48" s="76">
        <v>359</v>
      </c>
      <c r="M48" s="3" t="s">
        <v>197</v>
      </c>
    </row>
    <row r="49" spans="1:13" x14ac:dyDescent="0.25">
      <c r="A49" s="547">
        <f t="shared" si="0"/>
        <v>24</v>
      </c>
      <c r="B49" s="934" t="s">
        <v>1388</v>
      </c>
      <c r="C49" s="940">
        <v>0</v>
      </c>
      <c r="D49" s="940">
        <v>0</v>
      </c>
      <c r="E49" s="940">
        <v>0</v>
      </c>
      <c r="F49" s="940">
        <v>0</v>
      </c>
      <c r="G49" s="940">
        <v>0</v>
      </c>
      <c r="H49" s="940">
        <v>0</v>
      </c>
      <c r="I49" s="940">
        <v>0</v>
      </c>
      <c r="J49" s="940">
        <v>0</v>
      </c>
      <c r="K49" s="940">
        <v>0</v>
      </c>
      <c r="L49" s="940">
        <v>0</v>
      </c>
      <c r="M49" s="940">
        <v>0</v>
      </c>
    </row>
    <row r="50" spans="1:13" x14ac:dyDescent="0.25">
      <c r="A50" s="547">
        <f t="shared" si="0"/>
        <v>25</v>
      </c>
      <c r="B50" s="934" t="s">
        <v>1388</v>
      </c>
      <c r="C50" s="940">
        <v>0</v>
      </c>
      <c r="D50" s="940">
        <v>0</v>
      </c>
      <c r="E50" s="940">
        <v>0</v>
      </c>
      <c r="F50" s="940">
        <v>0</v>
      </c>
      <c r="G50" s="940">
        <v>0</v>
      </c>
      <c r="H50" s="940">
        <v>0</v>
      </c>
      <c r="I50" s="940">
        <v>0</v>
      </c>
      <c r="J50" s="940">
        <v>0</v>
      </c>
      <c r="K50" s="940">
        <v>0</v>
      </c>
      <c r="L50" s="940">
        <v>0</v>
      </c>
      <c r="M50" s="940">
        <v>0</v>
      </c>
    </row>
    <row r="51" spans="1:13" x14ac:dyDescent="0.25">
      <c r="A51" s="547">
        <f t="shared" si="0"/>
        <v>26</v>
      </c>
      <c r="B51" s="934" t="s">
        <v>1388</v>
      </c>
      <c r="C51" s="940">
        <v>0</v>
      </c>
      <c r="D51" s="940">
        <v>0</v>
      </c>
      <c r="E51" s="940">
        <v>0</v>
      </c>
      <c r="F51" s="940">
        <v>0</v>
      </c>
      <c r="G51" s="940">
        <v>0</v>
      </c>
      <c r="H51" s="940">
        <v>0</v>
      </c>
      <c r="I51" s="940">
        <v>0</v>
      </c>
      <c r="J51" s="940">
        <v>0</v>
      </c>
      <c r="K51" s="940">
        <v>0</v>
      </c>
      <c r="L51" s="940">
        <v>0</v>
      </c>
      <c r="M51" s="940">
        <v>0</v>
      </c>
    </row>
    <row r="52" spans="1:13" x14ac:dyDescent="0.25">
      <c r="A52" s="547">
        <f t="shared" si="0"/>
        <v>27</v>
      </c>
      <c r="B52" s="934" t="s">
        <v>1388</v>
      </c>
      <c r="C52" s="940">
        <v>0</v>
      </c>
      <c r="D52" s="940">
        <v>0</v>
      </c>
      <c r="E52" s="940">
        <v>0</v>
      </c>
      <c r="F52" s="940">
        <v>0</v>
      </c>
      <c r="G52" s="940">
        <v>0</v>
      </c>
      <c r="H52" s="940">
        <v>0</v>
      </c>
      <c r="I52" s="940">
        <v>0</v>
      </c>
      <c r="J52" s="940">
        <v>0</v>
      </c>
      <c r="K52" s="940">
        <v>0</v>
      </c>
      <c r="L52" s="940">
        <v>0</v>
      </c>
      <c r="M52" s="940">
        <v>0</v>
      </c>
    </row>
    <row r="53" spans="1:13" x14ac:dyDescent="0.25">
      <c r="A53" s="547">
        <f t="shared" si="0"/>
        <v>28</v>
      </c>
      <c r="B53" s="934" t="s">
        <v>1388</v>
      </c>
      <c r="C53" s="940">
        <v>0</v>
      </c>
      <c r="D53" s="940">
        <v>0</v>
      </c>
      <c r="E53" s="940">
        <v>0</v>
      </c>
      <c r="F53" s="940">
        <v>0</v>
      </c>
      <c r="G53" s="940">
        <v>0</v>
      </c>
      <c r="H53" s="940">
        <v>0</v>
      </c>
      <c r="I53" s="940">
        <v>0</v>
      </c>
      <c r="J53" s="940">
        <v>0</v>
      </c>
      <c r="K53" s="940">
        <v>0</v>
      </c>
      <c r="L53" s="940">
        <v>0</v>
      </c>
      <c r="M53" s="940">
        <v>0</v>
      </c>
    </row>
    <row r="54" spans="1:13" x14ac:dyDescent="0.25">
      <c r="A54" s="547">
        <f t="shared" si="0"/>
        <v>29</v>
      </c>
      <c r="B54" s="934" t="s">
        <v>1388</v>
      </c>
      <c r="C54" s="940">
        <v>0</v>
      </c>
      <c r="D54" s="940">
        <v>0</v>
      </c>
      <c r="E54" s="940">
        <v>0</v>
      </c>
      <c r="F54" s="940">
        <v>0</v>
      </c>
      <c r="G54" s="940">
        <v>0</v>
      </c>
      <c r="H54" s="940">
        <v>0</v>
      </c>
      <c r="I54" s="940">
        <v>0</v>
      </c>
      <c r="J54" s="940">
        <v>0</v>
      </c>
      <c r="K54" s="940">
        <v>0</v>
      </c>
      <c r="L54" s="940">
        <v>0</v>
      </c>
      <c r="M54" s="940">
        <v>0</v>
      </c>
    </row>
    <row r="55" spans="1:13" x14ac:dyDescent="0.25">
      <c r="A55" s="547">
        <f t="shared" si="0"/>
        <v>30</v>
      </c>
      <c r="B55" s="934" t="s">
        <v>1388</v>
      </c>
      <c r="C55" s="940">
        <v>0</v>
      </c>
      <c r="D55" s="940">
        <v>0</v>
      </c>
      <c r="E55" s="940">
        <v>0</v>
      </c>
      <c r="F55" s="940">
        <v>0</v>
      </c>
      <c r="G55" s="940">
        <v>0</v>
      </c>
      <c r="H55" s="940">
        <v>0</v>
      </c>
      <c r="I55" s="940">
        <v>0</v>
      </c>
      <c r="J55" s="940">
        <v>0</v>
      </c>
      <c r="K55" s="940">
        <v>0</v>
      </c>
      <c r="L55" s="940">
        <v>0</v>
      </c>
      <c r="M55" s="940">
        <v>0</v>
      </c>
    </row>
    <row r="56" spans="1:13" x14ac:dyDescent="0.25">
      <c r="A56" s="547">
        <f t="shared" si="0"/>
        <v>31</v>
      </c>
      <c r="B56" s="934" t="s">
        <v>1388</v>
      </c>
      <c r="C56" s="940">
        <v>0</v>
      </c>
      <c r="D56" s="940">
        <v>0</v>
      </c>
      <c r="E56" s="940">
        <v>0</v>
      </c>
      <c r="F56" s="940">
        <v>0</v>
      </c>
      <c r="G56" s="940">
        <v>0</v>
      </c>
      <c r="H56" s="940">
        <v>0</v>
      </c>
      <c r="I56" s="940">
        <v>0</v>
      </c>
      <c r="J56" s="940">
        <v>0</v>
      </c>
      <c r="K56" s="940">
        <v>0</v>
      </c>
      <c r="L56" s="940">
        <v>0</v>
      </c>
      <c r="M56" s="940">
        <v>0</v>
      </c>
    </row>
    <row r="57" spans="1:13" x14ac:dyDescent="0.25">
      <c r="A57" s="547">
        <f t="shared" si="0"/>
        <v>32</v>
      </c>
      <c r="B57" s="934" t="s">
        <v>1388</v>
      </c>
      <c r="C57" s="940">
        <v>0</v>
      </c>
      <c r="D57" s="940">
        <v>0</v>
      </c>
      <c r="E57" s="940">
        <v>0</v>
      </c>
      <c r="F57" s="940">
        <v>0</v>
      </c>
      <c r="G57" s="940">
        <v>0</v>
      </c>
      <c r="H57" s="940">
        <v>0</v>
      </c>
      <c r="I57" s="940">
        <v>0</v>
      </c>
      <c r="J57" s="940">
        <v>0</v>
      </c>
      <c r="K57" s="940">
        <v>0</v>
      </c>
      <c r="L57" s="940">
        <v>0</v>
      </c>
      <c r="M57" s="940">
        <v>0</v>
      </c>
    </row>
    <row r="58" spans="1:13" x14ac:dyDescent="0.25">
      <c r="A58" s="547">
        <f t="shared" si="0"/>
        <v>33</v>
      </c>
      <c r="B58" s="934" t="s">
        <v>1388</v>
      </c>
      <c r="C58" s="940">
        <v>0</v>
      </c>
      <c r="D58" s="940">
        <v>0</v>
      </c>
      <c r="E58" s="940">
        <v>0</v>
      </c>
      <c r="F58" s="940">
        <v>0</v>
      </c>
      <c r="G58" s="940">
        <v>0</v>
      </c>
      <c r="H58" s="940">
        <v>0</v>
      </c>
      <c r="I58" s="940">
        <v>0</v>
      </c>
      <c r="J58" s="940">
        <v>0</v>
      </c>
      <c r="K58" s="940">
        <v>0</v>
      </c>
      <c r="L58" s="940">
        <v>0</v>
      </c>
      <c r="M58" s="940">
        <v>0</v>
      </c>
    </row>
    <row r="59" spans="1:13" x14ac:dyDescent="0.25">
      <c r="A59" s="547">
        <f t="shared" si="0"/>
        <v>34</v>
      </c>
      <c r="B59" s="934" t="s">
        <v>1388</v>
      </c>
      <c r="C59" s="940">
        <v>0</v>
      </c>
      <c r="D59" s="940">
        <v>0</v>
      </c>
      <c r="E59" s="940">
        <v>0</v>
      </c>
      <c r="F59" s="940">
        <v>0</v>
      </c>
      <c r="G59" s="940">
        <v>0</v>
      </c>
      <c r="H59" s="940">
        <v>0</v>
      </c>
      <c r="I59" s="940">
        <v>0</v>
      </c>
      <c r="J59" s="940">
        <v>0</v>
      </c>
      <c r="K59" s="940">
        <v>0</v>
      </c>
      <c r="L59" s="940">
        <v>0</v>
      </c>
      <c r="M59" s="940">
        <v>0</v>
      </c>
    </row>
    <row r="60" spans="1:13" ht="15" x14ac:dyDescent="0.4">
      <c r="A60" s="547">
        <f t="shared" si="0"/>
        <v>35</v>
      </c>
      <c r="B60" s="934" t="s">
        <v>1388</v>
      </c>
      <c r="C60" s="941">
        <v>0</v>
      </c>
      <c r="D60" s="941">
        <v>0</v>
      </c>
      <c r="E60" s="941">
        <v>0</v>
      </c>
      <c r="F60" s="941">
        <v>0</v>
      </c>
      <c r="G60" s="941">
        <v>0</v>
      </c>
      <c r="H60" s="941">
        <v>0</v>
      </c>
      <c r="I60" s="941">
        <v>0</v>
      </c>
      <c r="J60" s="941">
        <v>0</v>
      </c>
      <c r="K60" s="941">
        <v>0</v>
      </c>
      <c r="L60" s="941">
        <v>0</v>
      </c>
      <c r="M60" s="940">
        <v>0</v>
      </c>
    </row>
    <row r="61" spans="1:13" x14ac:dyDescent="0.25">
      <c r="A61" s="547">
        <f t="shared" si="0"/>
        <v>36</v>
      </c>
      <c r="B61" s="203" t="s">
        <v>198</v>
      </c>
      <c r="C61" s="940">
        <v>0</v>
      </c>
      <c r="D61" s="940">
        <v>0</v>
      </c>
      <c r="E61" s="940">
        <v>0</v>
      </c>
      <c r="F61" s="940">
        <v>0</v>
      </c>
      <c r="G61" s="940">
        <v>0</v>
      </c>
      <c r="H61" s="940">
        <v>0</v>
      </c>
      <c r="I61" s="940">
        <v>0</v>
      </c>
      <c r="J61" s="940">
        <v>0</v>
      </c>
      <c r="K61" s="940">
        <v>0</v>
      </c>
      <c r="L61" s="940">
        <v>0</v>
      </c>
      <c r="M61" s="6"/>
    </row>
    <row r="62" spans="1:13" x14ac:dyDescent="0.25">
      <c r="A62" s="547">
        <f t="shared" si="0"/>
        <v>37</v>
      </c>
      <c r="B62" s="202"/>
      <c r="C62" s="202"/>
      <c r="D62" s="202"/>
      <c r="E62" s="202"/>
      <c r="F62" s="202"/>
      <c r="G62" s="202"/>
      <c r="H62" s="202"/>
      <c r="I62" s="202"/>
      <c r="J62" s="202"/>
      <c r="K62" s="202"/>
      <c r="L62" s="441" t="s">
        <v>973</v>
      </c>
      <c r="M62" s="940">
        <v>0</v>
      </c>
    </row>
    <row r="63" spans="1:13" x14ac:dyDescent="0.25">
      <c r="A63" s="547">
        <f t="shared" si="0"/>
        <v>38</v>
      </c>
      <c r="B63" s="202"/>
      <c r="C63" s="202"/>
      <c r="D63" s="202"/>
      <c r="E63" s="202"/>
      <c r="F63" s="202"/>
      <c r="G63" s="202"/>
      <c r="H63" s="202"/>
      <c r="I63" s="202"/>
      <c r="J63" s="202"/>
      <c r="K63" s="202"/>
      <c r="L63" s="694" t="s">
        <v>974</v>
      </c>
      <c r="M63" s="202"/>
    </row>
    <row r="64" spans="1:13" x14ac:dyDescent="0.25">
      <c r="A64" s="547">
        <f t="shared" si="0"/>
        <v>39</v>
      </c>
      <c r="B64" s="1" t="s">
        <v>1010</v>
      </c>
      <c r="C64" s="202"/>
      <c r="D64" s="202"/>
      <c r="E64" s="202"/>
      <c r="F64" s="202"/>
      <c r="G64" s="202"/>
      <c r="H64" s="202"/>
      <c r="I64" s="202"/>
      <c r="J64" s="202"/>
      <c r="K64" s="202"/>
      <c r="L64" s="202"/>
      <c r="M64" s="202"/>
    </row>
    <row r="65" spans="1:13" x14ac:dyDescent="0.25">
      <c r="A65" s="547">
        <f t="shared" si="0"/>
        <v>40</v>
      </c>
      <c r="B65" s="202"/>
      <c r="C65" s="202"/>
      <c r="D65" s="202"/>
      <c r="E65" s="202"/>
      <c r="F65" s="202"/>
      <c r="G65" s="202"/>
      <c r="H65" s="202"/>
      <c r="I65" s="202"/>
      <c r="J65" s="202"/>
      <c r="K65" s="202"/>
      <c r="L65" s="202"/>
      <c r="M65" s="202"/>
    </row>
    <row r="66" spans="1:13" x14ac:dyDescent="0.25">
      <c r="A66" s="547">
        <f t="shared" si="0"/>
        <v>41</v>
      </c>
      <c r="B66" s="208"/>
      <c r="C66" s="208"/>
      <c r="D66" s="318">
        <v>360</v>
      </c>
      <c r="E66" s="318">
        <v>361</v>
      </c>
      <c r="F66" s="318">
        <v>362</v>
      </c>
      <c r="G66" s="208"/>
      <c r="H66" s="844" t="s">
        <v>180</v>
      </c>
      <c r="I66" s="3"/>
      <c r="J66" s="202"/>
      <c r="K66" s="202"/>
      <c r="L66" s="202"/>
      <c r="M66" s="202"/>
    </row>
    <row r="67" spans="1:13" x14ac:dyDescent="0.25">
      <c r="A67" s="547">
        <f t="shared" si="0"/>
        <v>42</v>
      </c>
      <c r="B67" s="445" t="s">
        <v>1011</v>
      </c>
      <c r="C67" s="208"/>
      <c r="D67" s="940">
        <v>0</v>
      </c>
      <c r="E67" s="940">
        <v>0</v>
      </c>
      <c r="F67" s="940">
        <v>0</v>
      </c>
      <c r="G67" s="208"/>
      <c r="H67" s="445" t="s">
        <v>2343</v>
      </c>
      <c r="I67" s="447"/>
      <c r="J67" s="202"/>
      <c r="K67" s="202"/>
      <c r="L67" s="202"/>
      <c r="M67" s="202"/>
    </row>
    <row r="68" spans="1:13" ht="15" x14ac:dyDescent="0.4">
      <c r="A68" s="547">
        <f t="shared" si="0"/>
        <v>43</v>
      </c>
      <c r="B68" s="445" t="s">
        <v>1012</v>
      </c>
      <c r="C68" s="208"/>
      <c r="D68" s="941">
        <v>0</v>
      </c>
      <c r="E68" s="941">
        <v>0</v>
      </c>
      <c r="F68" s="941">
        <v>0</v>
      </c>
      <c r="G68" s="208"/>
      <c r="H68" s="445" t="s">
        <v>2344</v>
      </c>
      <c r="I68" s="202"/>
      <c r="J68" s="202"/>
      <c r="K68" s="202"/>
      <c r="M68" s="202"/>
    </row>
    <row r="69" spans="1:13" x14ac:dyDescent="0.25">
      <c r="A69" s="547">
        <f t="shared" si="0"/>
        <v>44</v>
      </c>
      <c r="B69" s="445" t="s">
        <v>1013</v>
      </c>
      <c r="C69" s="208"/>
      <c r="D69" s="940">
        <v>0</v>
      </c>
      <c r="E69" s="940">
        <v>0</v>
      </c>
      <c r="F69" s="940">
        <v>0</v>
      </c>
      <c r="G69" s="208"/>
      <c r="H69" s="902"/>
      <c r="I69" s="447"/>
      <c r="J69" s="202"/>
      <c r="K69" s="202"/>
      <c r="M69" s="202"/>
    </row>
    <row r="70" spans="1:13" x14ac:dyDescent="0.25">
      <c r="A70" s="547">
        <f t="shared" si="0"/>
        <v>45</v>
      </c>
      <c r="B70" s="13"/>
      <c r="C70" s="13"/>
      <c r="D70" s="13"/>
      <c r="E70" s="13"/>
      <c r="F70" s="13"/>
      <c r="G70" s="13"/>
      <c r="H70" s="13"/>
      <c r="J70" s="202"/>
      <c r="K70" s="202"/>
      <c r="M70" s="202"/>
    </row>
    <row r="71" spans="1:13" x14ac:dyDescent="0.25">
      <c r="A71" s="547">
        <f t="shared" si="0"/>
        <v>46</v>
      </c>
      <c r="B71" s="608" t="s">
        <v>1791</v>
      </c>
      <c r="C71" s="208"/>
      <c r="D71" s="208"/>
      <c r="E71" s="208"/>
      <c r="F71" s="13"/>
      <c r="G71" s="13"/>
      <c r="H71" s="13"/>
      <c r="J71" s="208"/>
      <c r="K71" s="208"/>
      <c r="L71" s="206"/>
      <c r="M71" s="202"/>
    </row>
    <row r="72" spans="1:13" x14ac:dyDescent="0.25">
      <c r="A72" s="547">
        <f t="shared" si="0"/>
        <v>47</v>
      </c>
      <c r="B72" s="208"/>
      <c r="C72" s="13"/>
      <c r="D72" s="318">
        <v>360</v>
      </c>
      <c r="E72" s="318">
        <v>361</v>
      </c>
      <c r="F72" s="318">
        <v>362</v>
      </c>
      <c r="G72" s="13"/>
      <c r="H72" s="13"/>
      <c r="J72" s="208"/>
      <c r="K72" s="208"/>
      <c r="L72" s="206"/>
      <c r="M72" s="202"/>
    </row>
    <row r="73" spans="1:13" x14ac:dyDescent="0.25">
      <c r="A73" s="547">
        <f t="shared" si="0"/>
        <v>48</v>
      </c>
      <c r="B73" s="13"/>
      <c r="C73" s="13"/>
      <c r="D73" s="926" t="s">
        <v>2193</v>
      </c>
      <c r="E73" s="926" t="s">
        <v>2193</v>
      </c>
      <c r="F73" s="926" t="s">
        <v>2193</v>
      </c>
      <c r="G73" s="13"/>
      <c r="H73" s="13"/>
      <c r="J73" s="208"/>
      <c r="K73" s="208"/>
      <c r="L73" s="206"/>
      <c r="M73" s="202"/>
    </row>
    <row r="74" spans="1:13" x14ac:dyDescent="0.25">
      <c r="A74" s="547">
        <f t="shared" si="0"/>
        <v>49</v>
      </c>
      <c r="B74" s="13"/>
      <c r="C74" s="13"/>
      <c r="D74" s="13"/>
      <c r="E74" s="13"/>
      <c r="F74" s="13"/>
      <c r="G74" s="13"/>
      <c r="H74" s="13"/>
      <c r="J74" s="208"/>
      <c r="K74" s="208"/>
      <c r="L74" s="95"/>
      <c r="M74" s="202"/>
    </row>
    <row r="75" spans="1:13" x14ac:dyDescent="0.25">
      <c r="A75" s="547">
        <f t="shared" si="0"/>
        <v>50</v>
      </c>
      <c r="B75" s="13" t="s">
        <v>366</v>
      </c>
      <c r="C75" s="13"/>
      <c r="D75" s="13"/>
      <c r="E75" s="13"/>
      <c r="F75" s="445" t="s">
        <v>1708</v>
      </c>
      <c r="G75" s="13"/>
      <c r="H75" s="13"/>
      <c r="J75" s="208"/>
      <c r="K75" s="208"/>
      <c r="L75" s="209"/>
      <c r="M75" s="202"/>
    </row>
    <row r="76" spans="1:13" x14ac:dyDescent="0.25">
      <c r="A76" s="547">
        <f t="shared" si="0"/>
        <v>51</v>
      </c>
      <c r="B76" s="13"/>
      <c r="C76" s="13"/>
      <c r="D76" s="13"/>
      <c r="E76" s="13"/>
      <c r="F76" s="13"/>
      <c r="G76" s="13"/>
      <c r="H76" s="13"/>
      <c r="J76" s="208"/>
      <c r="K76" s="208"/>
      <c r="L76" s="209"/>
      <c r="M76" s="202"/>
    </row>
    <row r="77" spans="1:13" x14ac:dyDescent="0.25">
      <c r="A77" s="547">
        <f t="shared" si="0"/>
        <v>52</v>
      </c>
      <c r="B77" s="13"/>
      <c r="C77" s="13"/>
      <c r="D77" s="318">
        <v>360</v>
      </c>
      <c r="E77" s="318">
        <v>361</v>
      </c>
      <c r="F77" s="318">
        <v>362</v>
      </c>
      <c r="G77" s="421" t="s">
        <v>197</v>
      </c>
      <c r="H77" s="13"/>
      <c r="J77" s="208"/>
      <c r="K77" s="208"/>
      <c r="L77" s="209"/>
      <c r="M77" s="202"/>
    </row>
    <row r="78" spans="1:13" x14ac:dyDescent="0.25">
      <c r="A78" s="547">
        <f t="shared" ref="A78:A91" si="1">A77+1</f>
        <v>53</v>
      </c>
      <c r="B78" s="13"/>
      <c r="C78" s="13"/>
      <c r="D78" s="940">
        <v>0</v>
      </c>
      <c r="E78" s="940">
        <v>0</v>
      </c>
      <c r="F78" s="940">
        <v>0</v>
      </c>
      <c r="G78" s="940">
        <v>0</v>
      </c>
      <c r="H78" s="96" t="s">
        <v>1014</v>
      </c>
      <c r="J78" s="208"/>
      <c r="K78" s="208"/>
      <c r="L78" s="206"/>
      <c r="M78" s="202"/>
    </row>
    <row r="79" spans="1:13" x14ac:dyDescent="0.25">
      <c r="A79" s="547">
        <f t="shared" si="1"/>
        <v>54</v>
      </c>
      <c r="B79" s="13"/>
      <c r="C79" s="13"/>
      <c r="D79" s="13"/>
      <c r="E79" s="13"/>
      <c r="F79" s="13"/>
      <c r="G79" s="13"/>
      <c r="H79" s="96" t="s">
        <v>1015</v>
      </c>
      <c r="J79" s="208"/>
      <c r="K79" s="208"/>
      <c r="L79" s="208"/>
      <c r="M79" s="202"/>
    </row>
    <row r="80" spans="1:13" x14ac:dyDescent="0.25">
      <c r="A80" s="547">
        <f t="shared" si="1"/>
        <v>55</v>
      </c>
      <c r="B80" s="13"/>
      <c r="C80" s="13"/>
      <c r="D80" s="13"/>
      <c r="E80" s="13"/>
      <c r="F80" s="13"/>
      <c r="G80" s="13"/>
      <c r="H80" s="13"/>
      <c r="J80" s="208"/>
      <c r="K80" s="208"/>
      <c r="L80" s="208"/>
      <c r="M80" s="202"/>
    </row>
    <row r="81" spans="1:13" x14ac:dyDescent="0.25">
      <c r="A81" s="547">
        <f t="shared" si="1"/>
        <v>56</v>
      </c>
      <c r="B81" s="38" t="s">
        <v>1016</v>
      </c>
      <c r="C81" s="13"/>
      <c r="D81" s="13"/>
      <c r="E81" s="13"/>
      <c r="F81" s="13"/>
      <c r="G81" s="13"/>
      <c r="H81" s="13"/>
      <c r="J81" s="208"/>
      <c r="K81" s="208"/>
      <c r="L81" s="208"/>
      <c r="M81" s="202"/>
    </row>
    <row r="82" spans="1:13" x14ac:dyDescent="0.25">
      <c r="A82" s="547">
        <f t="shared" si="1"/>
        <v>57</v>
      </c>
      <c r="B82" s="202"/>
      <c r="C82" s="202"/>
      <c r="D82" s="202"/>
      <c r="E82" s="202"/>
      <c r="F82" s="202"/>
      <c r="G82" s="202"/>
      <c r="H82" s="202"/>
      <c r="I82" s="202"/>
      <c r="J82" s="202"/>
      <c r="K82" s="202"/>
      <c r="L82" s="202"/>
      <c r="M82" s="202"/>
    </row>
    <row r="83" spans="1:13" x14ac:dyDescent="0.25">
      <c r="A83" s="547">
        <f t="shared" si="1"/>
        <v>58</v>
      </c>
      <c r="B83" s="526" t="s">
        <v>975</v>
      </c>
      <c r="C83" s="202"/>
      <c r="D83" s="202"/>
      <c r="E83" s="202"/>
      <c r="F83" s="202"/>
      <c r="G83" s="202"/>
      <c r="H83" s="932">
        <v>0</v>
      </c>
      <c r="I83" s="447" t="s">
        <v>977</v>
      </c>
      <c r="J83" s="202"/>
      <c r="K83" s="202"/>
      <c r="L83" s="202"/>
      <c r="M83" s="202"/>
    </row>
    <row r="84" spans="1:13" ht="15" x14ac:dyDescent="0.4">
      <c r="A84" s="547">
        <f t="shared" si="1"/>
        <v>59</v>
      </c>
      <c r="B84" s="443" t="s">
        <v>976</v>
      </c>
      <c r="C84" s="202"/>
      <c r="D84" s="202"/>
      <c r="E84" s="202"/>
      <c r="F84" s="202"/>
      <c r="G84" s="202"/>
      <c r="H84" s="933">
        <v>0</v>
      </c>
      <c r="I84" s="447" t="s">
        <v>978</v>
      </c>
      <c r="J84" s="202"/>
      <c r="K84" s="202"/>
      <c r="L84" s="202"/>
      <c r="M84" s="202"/>
    </row>
    <row r="85" spans="1:13" x14ac:dyDescent="0.25">
      <c r="A85" s="547">
        <f t="shared" si="1"/>
        <v>60</v>
      </c>
      <c r="B85" s="526" t="s">
        <v>979</v>
      </c>
      <c r="C85" s="202"/>
      <c r="D85" s="202"/>
      <c r="E85" s="202"/>
      <c r="F85" s="202"/>
      <c r="G85" s="202"/>
      <c r="H85" s="940">
        <v>0</v>
      </c>
      <c r="I85" s="447" t="str">
        <f>"Line "&amp;A83&amp;" + Line "&amp;A84&amp;""</f>
        <v>Line 58 + Line 59</v>
      </c>
      <c r="J85" s="202"/>
      <c r="K85" s="202"/>
      <c r="L85" s="202"/>
      <c r="M85" s="202"/>
    </row>
    <row r="86" spans="1:13" x14ac:dyDescent="0.25">
      <c r="A86" s="547">
        <f t="shared" si="1"/>
        <v>61</v>
      </c>
      <c r="B86" s="526" t="s">
        <v>94</v>
      </c>
      <c r="C86" s="202"/>
      <c r="D86" s="202"/>
      <c r="E86" s="202"/>
      <c r="F86" s="202"/>
      <c r="G86" s="202"/>
      <c r="H86" s="926" t="s">
        <v>2193</v>
      </c>
      <c r="I86" s="96" t="str">
        <f>"27-Allocators, Line "&amp;'27-Allocators'!A15&amp;""</f>
        <v>27-Allocators, Line 9</v>
      </c>
      <c r="J86" s="202"/>
      <c r="K86" s="202"/>
      <c r="L86" s="202"/>
      <c r="M86" s="202"/>
    </row>
    <row r="87" spans="1:13" x14ac:dyDescent="0.25">
      <c r="A87" s="547">
        <f t="shared" si="1"/>
        <v>62</v>
      </c>
      <c r="B87" s="526" t="s">
        <v>980</v>
      </c>
      <c r="C87" s="202"/>
      <c r="D87" s="202"/>
      <c r="E87" s="202"/>
      <c r="F87" s="202"/>
      <c r="G87" s="202"/>
      <c r="H87" s="940">
        <v>0</v>
      </c>
      <c r="I87" s="447" t="str">
        <f>"Line "&amp;A85&amp;" * Line "&amp;A86&amp;""</f>
        <v>Line 60 * Line 61</v>
      </c>
      <c r="J87" s="202"/>
      <c r="K87" s="202"/>
      <c r="L87" s="202"/>
      <c r="M87" s="202"/>
    </row>
    <row r="88" spans="1:13" x14ac:dyDescent="0.25">
      <c r="A88" s="547">
        <f t="shared" si="1"/>
        <v>63</v>
      </c>
      <c r="B88" s="526"/>
      <c r="C88" s="443"/>
      <c r="D88" s="202"/>
      <c r="E88" s="202"/>
      <c r="F88" s="202"/>
      <c r="G88" s="202"/>
      <c r="H88" s="202"/>
      <c r="I88" s="202"/>
      <c r="J88" s="202"/>
      <c r="K88" s="202"/>
      <c r="L88" s="202"/>
      <c r="M88" s="202"/>
    </row>
    <row r="89" spans="1:13" x14ac:dyDescent="0.25">
      <c r="A89" s="547">
        <f t="shared" si="1"/>
        <v>64</v>
      </c>
      <c r="B89" s="75" t="s">
        <v>1677</v>
      </c>
      <c r="C89" s="202"/>
      <c r="D89" s="202"/>
      <c r="E89" s="202"/>
      <c r="F89" s="202"/>
      <c r="G89" s="202"/>
      <c r="H89" s="202"/>
      <c r="I89" s="202"/>
      <c r="J89" s="202"/>
      <c r="K89" s="202"/>
      <c r="L89" s="202"/>
      <c r="M89" s="202"/>
    </row>
    <row r="90" spans="1:13" x14ac:dyDescent="0.25">
      <c r="A90" s="547">
        <f t="shared" si="1"/>
        <v>65</v>
      </c>
      <c r="B90" s="526"/>
      <c r="C90" s="443"/>
      <c r="D90" s="202"/>
      <c r="E90" s="202"/>
      <c r="F90" s="202"/>
      <c r="G90" s="202"/>
      <c r="H90" s="202"/>
      <c r="I90" s="202"/>
      <c r="J90" s="202"/>
      <c r="K90" s="202"/>
      <c r="L90" s="202"/>
      <c r="M90" s="202"/>
    </row>
    <row r="91" spans="1:13" x14ac:dyDescent="0.25">
      <c r="A91" s="547">
        <f t="shared" si="1"/>
        <v>66</v>
      </c>
      <c r="B91" s="526" t="s">
        <v>1676</v>
      </c>
      <c r="C91" s="202"/>
      <c r="D91" s="202"/>
      <c r="E91" s="202"/>
      <c r="F91" s="3" t="s">
        <v>176</v>
      </c>
      <c r="G91" s="3" t="s">
        <v>180</v>
      </c>
      <c r="H91" s="202"/>
      <c r="I91" s="202"/>
    </row>
    <row r="92" spans="1:13" x14ac:dyDescent="0.25">
      <c r="A92" s="547">
        <f>A91+1</f>
        <v>67</v>
      </c>
      <c r="B92" s="447" t="s">
        <v>966</v>
      </c>
      <c r="C92" s="202"/>
      <c r="D92" s="202"/>
      <c r="E92" s="202"/>
      <c r="F92" s="940">
        <v>0</v>
      </c>
      <c r="G92" s="447" t="str">
        <f>"Line "&amp;A62&amp;", Col 12"</f>
        <v>Line 37, Col 12</v>
      </c>
      <c r="H92" s="202"/>
      <c r="I92" s="202"/>
    </row>
    <row r="93" spans="1:13" x14ac:dyDescent="0.25">
      <c r="A93" s="547">
        <f>A92+1</f>
        <v>68</v>
      </c>
      <c r="B93" s="447" t="s">
        <v>982</v>
      </c>
      <c r="C93" s="202"/>
      <c r="D93" s="202"/>
      <c r="E93" s="202"/>
      <c r="F93" s="940">
        <v>0</v>
      </c>
      <c r="G93" s="447" t="str">
        <f>"Line "&amp;A78&amp;""</f>
        <v>Line 53</v>
      </c>
      <c r="H93" s="202"/>
      <c r="I93" s="202"/>
    </row>
    <row r="94" spans="1:13" ht="15" x14ac:dyDescent="0.4">
      <c r="A94" s="547">
        <f>A93+1</f>
        <v>69</v>
      </c>
      <c r="B94" s="447" t="s">
        <v>981</v>
      </c>
      <c r="C94" s="202"/>
      <c r="D94" s="202"/>
      <c r="E94" s="202"/>
      <c r="F94" s="941">
        <v>0</v>
      </c>
      <c r="G94" s="447" t="str">
        <f>"Line "&amp;A87&amp;""</f>
        <v>Line 62</v>
      </c>
      <c r="H94" s="202"/>
      <c r="I94" s="202"/>
    </row>
    <row r="95" spans="1:13" x14ac:dyDescent="0.25">
      <c r="A95" s="547">
        <f>A94+1</f>
        <v>70</v>
      </c>
      <c r="B95" s="202"/>
      <c r="C95" s="202"/>
      <c r="D95" s="202"/>
      <c r="E95" s="203" t="s">
        <v>1017</v>
      </c>
      <c r="F95" s="940">
        <v>0</v>
      </c>
      <c r="G95" s="447" t="str">
        <f>"Line "&amp;A92&amp;" + Line "&amp;A93&amp;" + Line "&amp;A94&amp;""</f>
        <v>Line 67 + Line 68 + Line 69</v>
      </c>
      <c r="H95" s="202"/>
      <c r="I95" s="202"/>
    </row>
    <row r="96" spans="1:13" x14ac:dyDescent="0.25">
      <c r="A96" s="202"/>
      <c r="B96" s="1" t="s">
        <v>233</v>
      </c>
      <c r="C96" s="202"/>
      <c r="D96" s="202"/>
      <c r="E96" s="202"/>
      <c r="F96" s="202"/>
      <c r="G96" s="202"/>
      <c r="H96" s="202"/>
      <c r="I96" s="202"/>
    </row>
    <row r="97" spans="1:10" x14ac:dyDescent="0.25">
      <c r="A97" s="202"/>
      <c r="B97" s="443" t="s">
        <v>1435</v>
      </c>
      <c r="C97" s="202"/>
      <c r="D97" s="202"/>
      <c r="E97" s="202"/>
      <c r="F97" s="202"/>
      <c r="G97" s="202"/>
      <c r="H97" s="202"/>
      <c r="I97" s="202"/>
    </row>
    <row r="98" spans="1:10" x14ac:dyDescent="0.25">
      <c r="A98" s="202"/>
      <c r="B98" s="445" t="str">
        <f>"same account, times the Monthly Depreciation Rate for that account.  Monthly rate = annual rates on Line "&amp;A30&amp;" etc. divided by 12."</f>
        <v>same account, times the Monthly Depreciation Rate for that account.  Monthly rate = annual rates on Line 17a etc. divided by 12.</v>
      </c>
      <c r="C98" s="208"/>
      <c r="D98" s="208"/>
      <c r="E98" s="208"/>
      <c r="F98" s="208"/>
      <c r="G98" s="208"/>
      <c r="H98" s="208"/>
      <c r="I98" s="208"/>
      <c r="J98" s="13"/>
    </row>
    <row r="99" spans="1:10" x14ac:dyDescent="0.25">
      <c r="A99" s="202"/>
      <c r="B99" s="445" t="str">
        <f>"2) Depreciation Expense for each account is equal to the Average BOY/EOY value on Line "&amp;A69&amp;" times the"</f>
        <v>2) Depreciation Expense for each account is equal to the Average BOY/EOY value on Line 44 times the</v>
      </c>
      <c r="C99" s="208"/>
      <c r="D99" s="208"/>
      <c r="E99" s="208"/>
      <c r="F99" s="208"/>
      <c r="G99" s="208"/>
      <c r="H99" s="208"/>
      <c r="I99" s="208"/>
      <c r="J99" s="13"/>
    </row>
    <row r="100" spans="1:10" x14ac:dyDescent="0.25">
      <c r="B100" s="445" t="str">
        <f>"Depreciation Rate on Line "&amp;A73&amp;"."</f>
        <v>Depreciation Rate on Line 48.</v>
      </c>
      <c r="C100" s="13"/>
      <c r="D100" s="13"/>
      <c r="E100" s="13"/>
      <c r="F100" s="13"/>
      <c r="G100" s="13"/>
      <c r="H100" s="13"/>
      <c r="I100" s="13"/>
      <c r="J100" s="13"/>
    </row>
    <row r="101" spans="1:10" x14ac:dyDescent="0.25">
      <c r="B101" s="38" t="s">
        <v>382</v>
      </c>
      <c r="C101" s="13"/>
      <c r="D101" s="13"/>
      <c r="E101" s="13"/>
      <c r="F101" s="13"/>
      <c r="G101" s="13"/>
      <c r="H101" s="13"/>
      <c r="I101" s="13"/>
      <c r="J101" s="13"/>
    </row>
    <row r="102" spans="1:10" x14ac:dyDescent="0.25">
      <c r="B102" s="445" t="s">
        <v>2488</v>
      </c>
      <c r="C102" s="13"/>
      <c r="D102" s="13"/>
      <c r="E102" s="13"/>
      <c r="F102" s="13"/>
      <c r="G102" s="13"/>
      <c r="H102" s="13"/>
      <c r="I102" s="13"/>
      <c r="J102" s="13"/>
    </row>
    <row r="103" spans="1:10" x14ac:dyDescent="0.25">
      <c r="B103" s="445" t="s">
        <v>2489</v>
      </c>
      <c r="C103" s="13"/>
      <c r="D103" s="13"/>
      <c r="E103" s="13"/>
      <c r="F103" s="13"/>
      <c r="G103" s="13"/>
      <c r="H103" s="13"/>
      <c r="I103" s="13"/>
      <c r="J103" s="13"/>
    </row>
    <row r="104" spans="1:10" x14ac:dyDescent="0.25">
      <c r="B104" s="445" t="s">
        <v>1778</v>
      </c>
      <c r="C104" s="13"/>
      <c r="D104" s="13"/>
      <c r="E104" s="13"/>
      <c r="F104" s="13"/>
      <c r="G104" s="13"/>
      <c r="H104" s="13"/>
      <c r="I104" s="13"/>
      <c r="J104" s="13"/>
    </row>
    <row r="105" spans="1:10" x14ac:dyDescent="0.25">
      <c r="B105" s="445"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5" s="13"/>
      <c r="D105" s="13"/>
      <c r="E105" s="13"/>
      <c r="F105" s="13"/>
      <c r="G105" s="13"/>
      <c r="H105" s="13"/>
      <c r="I105" s="13"/>
      <c r="J105"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43"/>
  </cols>
  <sheetData>
    <row r="1" spans="1:7" x14ac:dyDescent="0.25">
      <c r="A1" s="364" t="s">
        <v>1018</v>
      </c>
      <c r="B1" s="443"/>
      <c r="C1" s="443"/>
      <c r="D1" s="443"/>
    </row>
    <row r="2" spans="1:7" x14ac:dyDescent="0.25">
      <c r="A2" s="443"/>
      <c r="B2" s="443"/>
      <c r="C2" s="443"/>
      <c r="D2" s="443"/>
    </row>
    <row r="3" spans="1:7" x14ac:dyDescent="0.25">
      <c r="A3" s="443"/>
      <c r="B3" s="364" t="s">
        <v>323</v>
      </c>
      <c r="C3" s="443"/>
      <c r="D3" s="443"/>
      <c r="E3" s="547" t="s">
        <v>376</v>
      </c>
      <c r="F3" s="547"/>
      <c r="G3" s="547"/>
    </row>
    <row r="4" spans="1:7" x14ac:dyDescent="0.25">
      <c r="A4" s="443"/>
      <c r="B4" s="443"/>
      <c r="C4" s="205" t="s">
        <v>12</v>
      </c>
      <c r="D4" s="443"/>
      <c r="E4" s="547" t="s">
        <v>1019</v>
      </c>
      <c r="F4" s="4" t="s">
        <v>1020</v>
      </c>
      <c r="G4" s="4"/>
    </row>
    <row r="5" spans="1:7" x14ac:dyDescent="0.25">
      <c r="A5" s="44" t="s">
        <v>332</v>
      </c>
      <c r="B5" s="443"/>
      <c r="C5" s="326" t="s">
        <v>100</v>
      </c>
      <c r="D5" s="326" t="s">
        <v>101</v>
      </c>
      <c r="E5" s="3" t="s">
        <v>1021</v>
      </c>
      <c r="F5" s="3" t="s">
        <v>1022</v>
      </c>
      <c r="G5" s="3" t="s">
        <v>197</v>
      </c>
    </row>
    <row r="6" spans="1:7" ht="15" customHeight="1" x14ac:dyDescent="0.25">
      <c r="A6" s="547">
        <v>1</v>
      </c>
      <c r="B6" s="443"/>
      <c r="C6" s="694">
        <v>350.1</v>
      </c>
      <c r="D6" s="447" t="s">
        <v>1023</v>
      </c>
      <c r="E6" s="490">
        <v>0</v>
      </c>
      <c r="F6" s="490">
        <v>0</v>
      </c>
      <c r="G6" s="490">
        <v>0</v>
      </c>
    </row>
    <row r="7" spans="1:7" ht="15" customHeight="1" x14ac:dyDescent="0.25">
      <c r="A7" s="547">
        <f>A6+1</f>
        <v>2</v>
      </c>
      <c r="B7" s="443"/>
      <c r="C7" s="694">
        <v>350.2</v>
      </c>
      <c r="D7" s="447" t="s">
        <v>1024</v>
      </c>
      <c r="E7" s="490">
        <v>1.67E-2</v>
      </c>
      <c r="F7" s="490">
        <v>0</v>
      </c>
      <c r="G7" s="490">
        <v>1.67E-2</v>
      </c>
    </row>
    <row r="8" spans="1:7" x14ac:dyDescent="0.25">
      <c r="A8" s="547">
        <f t="shared" ref="A8:A16" si="0">A7+1</f>
        <v>3</v>
      </c>
      <c r="B8" s="443"/>
      <c r="C8" s="694">
        <v>352</v>
      </c>
      <c r="D8" s="447" t="s">
        <v>1025</v>
      </c>
      <c r="E8" s="490">
        <v>1.7899999999999999E-2</v>
      </c>
      <c r="F8" s="490">
        <v>6.1999999999999998E-3</v>
      </c>
      <c r="G8" s="490">
        <v>2.41E-2</v>
      </c>
    </row>
    <row r="9" spans="1:7" x14ac:dyDescent="0.25">
      <c r="A9" s="547">
        <f t="shared" si="0"/>
        <v>4</v>
      </c>
      <c r="B9" s="443"/>
      <c r="C9" s="694">
        <v>353</v>
      </c>
      <c r="D9" s="447" t="s">
        <v>1026</v>
      </c>
      <c r="E9" s="490">
        <v>2.3900000000000001E-2</v>
      </c>
      <c r="F9" s="490">
        <v>4.4999999999999997E-3</v>
      </c>
      <c r="G9" s="490">
        <v>2.8400000000000002E-2</v>
      </c>
    </row>
    <row r="10" spans="1:7" x14ac:dyDescent="0.25">
      <c r="A10" s="547">
        <f t="shared" si="0"/>
        <v>5</v>
      </c>
      <c r="B10" s="443"/>
      <c r="C10" s="694">
        <v>354</v>
      </c>
      <c r="D10" s="447" t="s">
        <v>1203</v>
      </c>
      <c r="E10" s="490">
        <v>1.2000000000000002E-2</v>
      </c>
      <c r="F10" s="490">
        <v>1.5299999999999999E-2</v>
      </c>
      <c r="G10" s="490">
        <v>2.7300000000000001E-2</v>
      </c>
    </row>
    <row r="11" spans="1:7" x14ac:dyDescent="0.25">
      <c r="A11" s="547">
        <f t="shared" si="0"/>
        <v>6</v>
      </c>
      <c r="B11" s="443"/>
      <c r="C11" s="694">
        <v>355</v>
      </c>
      <c r="D11" s="447" t="s">
        <v>1027</v>
      </c>
      <c r="E11" s="490">
        <v>1.0600000000000002E-2</v>
      </c>
      <c r="F11" s="490">
        <v>1.78E-2</v>
      </c>
      <c r="G11" s="490">
        <v>2.8400000000000002E-2</v>
      </c>
    </row>
    <row r="12" spans="1:7" x14ac:dyDescent="0.25">
      <c r="A12" s="547">
        <f t="shared" si="0"/>
        <v>7</v>
      </c>
      <c r="B12" s="443"/>
      <c r="C12" s="694">
        <v>356</v>
      </c>
      <c r="D12" s="447" t="s">
        <v>1028</v>
      </c>
      <c r="E12" s="490">
        <v>7.7999999999999979E-3</v>
      </c>
      <c r="F12" s="490">
        <v>2.46E-2</v>
      </c>
      <c r="G12" s="490">
        <v>3.2399999999999998E-2</v>
      </c>
    </row>
    <row r="13" spans="1:7" x14ac:dyDescent="0.25">
      <c r="A13" s="547">
        <f t="shared" si="0"/>
        <v>8</v>
      </c>
      <c r="B13" s="443"/>
      <c r="C13" s="694">
        <v>357</v>
      </c>
      <c r="D13" s="447" t="s">
        <v>1029</v>
      </c>
      <c r="E13" s="490">
        <v>1.7299999999999999E-2</v>
      </c>
      <c r="F13" s="490">
        <v>0</v>
      </c>
      <c r="G13" s="490">
        <v>1.7299999999999999E-2</v>
      </c>
    </row>
    <row r="14" spans="1:7" x14ac:dyDescent="0.25">
      <c r="A14" s="547">
        <f t="shared" si="0"/>
        <v>9</v>
      </c>
      <c r="B14" s="443"/>
      <c r="C14" s="694">
        <v>358</v>
      </c>
      <c r="D14" s="447" t="s">
        <v>1030</v>
      </c>
      <c r="E14" s="490">
        <v>1.6199999999999999E-2</v>
      </c>
      <c r="F14" s="490">
        <v>7.9000000000000008E-3</v>
      </c>
      <c r="G14" s="490">
        <v>2.41E-2</v>
      </c>
    </row>
    <row r="15" spans="1:7" x14ac:dyDescent="0.25">
      <c r="A15" s="547">
        <f t="shared" si="0"/>
        <v>10</v>
      </c>
      <c r="B15" s="443"/>
      <c r="C15" s="694">
        <v>359</v>
      </c>
      <c r="D15" s="447" t="s">
        <v>1031</v>
      </c>
      <c r="E15" s="490">
        <v>1.6500000000000001E-2</v>
      </c>
      <c r="F15" s="490">
        <v>0</v>
      </c>
      <c r="G15" s="490">
        <v>1.6500000000000001E-2</v>
      </c>
    </row>
    <row r="16" spans="1:7" x14ac:dyDescent="0.25">
      <c r="A16" s="547">
        <f t="shared" si="0"/>
        <v>11</v>
      </c>
      <c r="B16" s="443"/>
      <c r="C16" s="443"/>
      <c r="D16" s="443"/>
    </row>
    <row r="17" spans="1:7" x14ac:dyDescent="0.25">
      <c r="A17" s="443"/>
      <c r="B17" s="364" t="s">
        <v>324</v>
      </c>
      <c r="C17" s="443"/>
      <c r="D17" s="443"/>
      <c r="E17" s="547" t="s">
        <v>376</v>
      </c>
      <c r="F17" s="547"/>
      <c r="G17" s="547"/>
    </row>
    <row r="18" spans="1:7" x14ac:dyDescent="0.25">
      <c r="A18" s="443"/>
      <c r="B18" s="443"/>
      <c r="C18" s="205" t="s">
        <v>12</v>
      </c>
      <c r="D18" s="443"/>
      <c r="E18" s="547" t="s">
        <v>1019</v>
      </c>
      <c r="F18" s="4" t="s">
        <v>1020</v>
      </c>
      <c r="G18" s="4"/>
    </row>
    <row r="19" spans="1:7" x14ac:dyDescent="0.25">
      <c r="A19" s="443"/>
      <c r="B19" s="443"/>
      <c r="C19" s="326" t="s">
        <v>100</v>
      </c>
      <c r="D19" s="326" t="s">
        <v>101</v>
      </c>
      <c r="E19" s="3" t="s">
        <v>1021</v>
      </c>
      <c r="F19" s="3" t="s">
        <v>1022</v>
      </c>
      <c r="G19" s="3" t="s">
        <v>197</v>
      </c>
    </row>
    <row r="20" spans="1:7" x14ac:dyDescent="0.25">
      <c r="A20" s="547">
        <f>A16+1</f>
        <v>12</v>
      </c>
      <c r="B20" s="443"/>
      <c r="C20" s="443">
        <v>360</v>
      </c>
      <c r="D20" s="447" t="s">
        <v>1032</v>
      </c>
      <c r="E20" s="845">
        <v>1.67E-2</v>
      </c>
      <c r="F20" s="845">
        <v>0</v>
      </c>
      <c r="G20" s="845">
        <v>1.67E-2</v>
      </c>
    </row>
    <row r="21" spans="1:7" x14ac:dyDescent="0.25">
      <c r="A21" s="547">
        <f>A20+1</f>
        <v>13</v>
      </c>
      <c r="B21" s="443"/>
      <c r="C21" s="443">
        <v>361</v>
      </c>
      <c r="D21" s="447" t="s">
        <v>1025</v>
      </c>
      <c r="E21" s="845">
        <v>1.7500000000000002E-2</v>
      </c>
      <c r="F21" s="845">
        <v>6.4000000000000003E-3</v>
      </c>
      <c r="G21" s="845">
        <v>2.3900000000000001E-2</v>
      </c>
    </row>
    <row r="22" spans="1:7" x14ac:dyDescent="0.25">
      <c r="A22" s="547">
        <f>A21+1</f>
        <v>14</v>
      </c>
      <c r="B22" s="443"/>
      <c r="C22" s="443">
        <v>362</v>
      </c>
      <c r="D22" s="447" t="s">
        <v>1026</v>
      </c>
      <c r="E22" s="845">
        <v>1.32E-2</v>
      </c>
      <c r="F22" s="845">
        <v>6.8999999999999999E-3</v>
      </c>
      <c r="G22" s="845">
        <v>2.01E-2</v>
      </c>
    </row>
    <row r="23" spans="1:7" x14ac:dyDescent="0.25">
      <c r="A23" s="443"/>
      <c r="B23" s="443"/>
      <c r="C23" s="443"/>
      <c r="D23" s="443"/>
    </row>
    <row r="24" spans="1:7" x14ac:dyDescent="0.25">
      <c r="A24" s="443"/>
      <c r="B24" s="364" t="s">
        <v>1033</v>
      </c>
      <c r="C24" s="443"/>
      <c r="D24" s="443"/>
      <c r="E24" s="547" t="s">
        <v>376</v>
      </c>
    </row>
    <row r="25" spans="1:7" x14ac:dyDescent="0.25">
      <c r="A25" s="443"/>
      <c r="B25" s="443"/>
      <c r="C25" s="205" t="s">
        <v>12</v>
      </c>
      <c r="D25" s="443"/>
      <c r="E25" s="547" t="s">
        <v>1019</v>
      </c>
      <c r="F25" s="4" t="s">
        <v>1020</v>
      </c>
      <c r="G25" s="4"/>
    </row>
    <row r="26" spans="1:7" x14ac:dyDescent="0.25">
      <c r="A26" s="443"/>
      <c r="B26" s="443"/>
      <c r="C26" s="326" t="s">
        <v>100</v>
      </c>
      <c r="D26" s="326" t="s">
        <v>101</v>
      </c>
      <c r="E26" s="3" t="s">
        <v>1021</v>
      </c>
      <c r="F26" s="3" t="s">
        <v>1022</v>
      </c>
      <c r="G26" s="3" t="s">
        <v>197</v>
      </c>
    </row>
    <row r="27" spans="1:7" x14ac:dyDescent="0.25">
      <c r="A27" s="547">
        <f>A22+1</f>
        <v>15</v>
      </c>
      <c r="B27" s="443"/>
      <c r="C27" s="443">
        <v>389</v>
      </c>
      <c r="D27" s="447" t="s">
        <v>1032</v>
      </c>
      <c r="E27" s="845">
        <v>1.67E-2</v>
      </c>
      <c r="F27" s="845">
        <v>0</v>
      </c>
      <c r="G27" s="845">
        <v>1.67E-2</v>
      </c>
    </row>
    <row r="28" spans="1:7" x14ac:dyDescent="0.25">
      <c r="A28" s="547">
        <f t="shared" ref="A28:A42" si="1">A27+1</f>
        <v>16</v>
      </c>
      <c r="B28" s="443"/>
      <c r="C28" s="443">
        <v>390</v>
      </c>
      <c r="D28" s="447" t="s">
        <v>1025</v>
      </c>
      <c r="E28" s="845">
        <v>1.8099999999999998E-2</v>
      </c>
      <c r="F28" s="845">
        <v>2.7000000000000001E-3</v>
      </c>
      <c r="G28" s="845">
        <v>2.0799999999999999E-2</v>
      </c>
    </row>
    <row r="29" spans="1:7" x14ac:dyDescent="0.25">
      <c r="A29" s="547">
        <f t="shared" si="1"/>
        <v>17</v>
      </c>
      <c r="B29" s="443"/>
      <c r="C29" s="443">
        <v>391.1</v>
      </c>
      <c r="D29" s="845" t="s">
        <v>1034</v>
      </c>
      <c r="E29" s="845">
        <v>0.05</v>
      </c>
      <c r="F29" s="845">
        <v>0</v>
      </c>
      <c r="G29" s="845">
        <v>0.05</v>
      </c>
    </row>
    <row r="30" spans="1:7" x14ac:dyDescent="0.25">
      <c r="A30" s="547">
        <f t="shared" si="1"/>
        <v>18</v>
      </c>
      <c r="B30" s="443"/>
      <c r="C30" s="443">
        <v>391.5</v>
      </c>
      <c r="D30" s="845" t="s">
        <v>1601</v>
      </c>
      <c r="E30" s="845">
        <v>0.2</v>
      </c>
      <c r="F30" s="845">
        <v>0</v>
      </c>
      <c r="G30" s="845">
        <v>0.2</v>
      </c>
    </row>
    <row r="31" spans="1:7" x14ac:dyDescent="0.25">
      <c r="A31" s="547">
        <f t="shared" si="1"/>
        <v>19</v>
      </c>
      <c r="B31" s="443"/>
      <c r="C31" s="443">
        <v>391.6</v>
      </c>
      <c r="D31" s="845" t="s">
        <v>1602</v>
      </c>
      <c r="E31" s="845">
        <v>0.2</v>
      </c>
      <c r="F31" s="845">
        <v>0</v>
      </c>
      <c r="G31" s="845">
        <v>0.2</v>
      </c>
    </row>
    <row r="32" spans="1:7" x14ac:dyDescent="0.25">
      <c r="A32" s="547">
        <f t="shared" si="1"/>
        <v>20</v>
      </c>
      <c r="B32" s="443"/>
      <c r="C32" s="443">
        <v>391.2</v>
      </c>
      <c r="D32" s="845" t="s">
        <v>1603</v>
      </c>
      <c r="E32" s="845">
        <v>0.2</v>
      </c>
      <c r="F32" s="845">
        <v>0</v>
      </c>
      <c r="G32" s="845">
        <v>0.2</v>
      </c>
    </row>
    <row r="33" spans="1:11" x14ac:dyDescent="0.25">
      <c r="A33" s="547">
        <f t="shared" si="1"/>
        <v>21</v>
      </c>
      <c r="B33" s="443"/>
      <c r="C33" s="443">
        <v>391.3</v>
      </c>
      <c r="D33" s="845" t="s">
        <v>1604</v>
      </c>
      <c r="E33" s="845">
        <v>0.2</v>
      </c>
      <c r="F33" s="845">
        <v>0</v>
      </c>
      <c r="G33" s="845">
        <v>0.2</v>
      </c>
    </row>
    <row r="34" spans="1:11" x14ac:dyDescent="0.25">
      <c r="A34" s="547">
        <f t="shared" si="1"/>
        <v>22</v>
      </c>
      <c r="B34" s="443"/>
      <c r="C34" s="441">
        <v>391.7</v>
      </c>
      <c r="D34" s="845" t="s">
        <v>1605</v>
      </c>
      <c r="E34" s="845">
        <v>0.2</v>
      </c>
      <c r="F34" s="845">
        <v>0</v>
      </c>
      <c r="G34" s="845">
        <v>0.2</v>
      </c>
    </row>
    <row r="35" spans="1:11" x14ac:dyDescent="0.25">
      <c r="A35" s="547">
        <f t="shared" si="1"/>
        <v>23</v>
      </c>
      <c r="B35" s="443"/>
      <c r="C35" s="441">
        <v>391.4</v>
      </c>
      <c r="D35" s="845" t="s">
        <v>1606</v>
      </c>
      <c r="E35" s="845">
        <v>0.1429</v>
      </c>
      <c r="F35" s="845">
        <v>0</v>
      </c>
      <c r="G35" s="845">
        <v>0.1429</v>
      </c>
    </row>
    <row r="36" spans="1:11" x14ac:dyDescent="0.25">
      <c r="A36" s="547">
        <f t="shared" si="1"/>
        <v>24</v>
      </c>
      <c r="B36" s="443"/>
      <c r="C36" s="443">
        <v>391.4</v>
      </c>
      <c r="D36" s="845" t="s">
        <v>1607</v>
      </c>
      <c r="E36" s="845">
        <v>0.1</v>
      </c>
      <c r="F36" s="845">
        <v>0</v>
      </c>
      <c r="G36" s="845">
        <v>0.1</v>
      </c>
    </row>
    <row r="37" spans="1:11" x14ac:dyDescent="0.25">
      <c r="A37" s="547">
        <f t="shared" si="1"/>
        <v>25</v>
      </c>
      <c r="B37" s="443"/>
      <c r="C37" s="441">
        <v>391.4</v>
      </c>
      <c r="D37" s="845" t="s">
        <v>1608</v>
      </c>
      <c r="E37" s="845">
        <v>6.6699999999999995E-2</v>
      </c>
      <c r="F37" s="845">
        <v>0</v>
      </c>
      <c r="G37" s="845">
        <v>6.6699999999999995E-2</v>
      </c>
    </row>
    <row r="38" spans="1:11" x14ac:dyDescent="0.25">
      <c r="A38" s="547">
        <f t="shared" si="1"/>
        <v>26</v>
      </c>
      <c r="B38" s="443"/>
      <c r="C38" s="441">
        <v>391.4</v>
      </c>
      <c r="D38" s="845" t="s">
        <v>1609</v>
      </c>
      <c r="E38" s="845">
        <v>0.05</v>
      </c>
      <c r="F38" s="845">
        <v>0</v>
      </c>
      <c r="G38" s="845">
        <v>0.05</v>
      </c>
    </row>
    <row r="39" spans="1:11" ht="14.4" x14ac:dyDescent="0.3">
      <c r="A39" s="547">
        <f t="shared" si="1"/>
        <v>27</v>
      </c>
      <c r="B39" s="443"/>
      <c r="C39" s="441">
        <v>391.4</v>
      </c>
      <c r="D39" s="845" t="s">
        <v>1610</v>
      </c>
      <c r="E39" s="845">
        <v>0.04</v>
      </c>
      <c r="F39" s="845">
        <v>0</v>
      </c>
      <c r="G39" s="845">
        <v>0.04</v>
      </c>
      <c r="I39" s="328"/>
      <c r="J39" s="328"/>
      <c r="K39" s="328"/>
    </row>
    <row r="40" spans="1:11" ht="14.4" x14ac:dyDescent="0.3">
      <c r="A40" s="547">
        <f t="shared" si="1"/>
        <v>28</v>
      </c>
      <c r="B40" s="443"/>
      <c r="C40" s="441">
        <v>393</v>
      </c>
      <c r="D40" s="443" t="s">
        <v>1611</v>
      </c>
      <c r="E40" s="845">
        <v>0.05</v>
      </c>
      <c r="F40" s="845">
        <v>0</v>
      </c>
      <c r="G40" s="845">
        <v>0.05</v>
      </c>
      <c r="I40" s="328"/>
      <c r="J40" s="328"/>
      <c r="K40" s="328"/>
    </row>
    <row r="41" spans="1:11" ht="14.4" x14ac:dyDescent="0.3">
      <c r="A41" s="547">
        <f t="shared" si="1"/>
        <v>29</v>
      </c>
      <c r="B41" s="443"/>
      <c r="C41" s="441">
        <v>395</v>
      </c>
      <c r="D41" s="443" t="s">
        <v>1612</v>
      </c>
      <c r="E41" s="845">
        <v>6.6699999999999995E-2</v>
      </c>
      <c r="F41" s="845">
        <v>0</v>
      </c>
      <c r="G41" s="845">
        <v>6.6699999999999995E-2</v>
      </c>
      <c r="I41" s="328"/>
      <c r="J41" s="328"/>
      <c r="K41" s="328"/>
    </row>
    <row r="42" spans="1:11" ht="14.4" x14ac:dyDescent="0.3">
      <c r="A42" s="547">
        <f t="shared" si="1"/>
        <v>30</v>
      </c>
      <c r="B42" s="443"/>
      <c r="C42" s="441">
        <v>398</v>
      </c>
      <c r="D42" s="443" t="s">
        <v>1613</v>
      </c>
      <c r="E42" s="845">
        <v>0.05</v>
      </c>
      <c r="F42" s="845">
        <v>0</v>
      </c>
      <c r="G42" s="845">
        <v>0.05</v>
      </c>
      <c r="I42" s="328"/>
      <c r="J42" s="328"/>
      <c r="K42" s="328"/>
    </row>
    <row r="43" spans="1:11" ht="14.4" x14ac:dyDescent="0.3">
      <c r="A43" s="547">
        <f>A42+1</f>
        <v>31</v>
      </c>
      <c r="B43" s="443"/>
      <c r="C43" s="441">
        <v>397</v>
      </c>
      <c r="D43" s="443" t="s">
        <v>2226</v>
      </c>
      <c r="E43" s="845">
        <v>0.2</v>
      </c>
      <c r="F43" s="845">
        <v>0</v>
      </c>
      <c r="G43" s="845">
        <v>0.2</v>
      </c>
      <c r="I43" s="328"/>
      <c r="J43" s="328"/>
      <c r="K43" s="328"/>
    </row>
    <row r="44" spans="1:11" ht="14.4" x14ac:dyDescent="0.3">
      <c r="A44" s="547">
        <f t="shared" ref="A44:A53" si="2">A43+1</f>
        <v>32</v>
      </c>
      <c r="B44" s="443"/>
      <c r="C44" s="441">
        <v>397</v>
      </c>
      <c r="D44" s="443" t="s">
        <v>1614</v>
      </c>
      <c r="E44" s="845">
        <v>0.1429</v>
      </c>
      <c r="F44" s="845">
        <v>0</v>
      </c>
      <c r="G44" s="845">
        <v>0.1429</v>
      </c>
      <c r="I44" s="328"/>
      <c r="J44" s="328"/>
      <c r="K44" s="328"/>
    </row>
    <row r="45" spans="1:11" ht="14.4" x14ac:dyDescent="0.3">
      <c r="A45" s="547">
        <f t="shared" si="2"/>
        <v>33</v>
      </c>
      <c r="B45" s="443"/>
      <c r="C45" s="441">
        <v>397</v>
      </c>
      <c r="D45" s="443" t="s">
        <v>1615</v>
      </c>
      <c r="E45" s="845">
        <v>0.1</v>
      </c>
      <c r="F45" s="845">
        <v>0</v>
      </c>
      <c r="G45" s="845">
        <v>0.1</v>
      </c>
      <c r="I45" s="328"/>
      <c r="J45" s="328"/>
      <c r="K45" s="328"/>
    </row>
    <row r="46" spans="1:11" ht="14.4" x14ac:dyDescent="0.3">
      <c r="A46" s="547">
        <f t="shared" si="2"/>
        <v>34</v>
      </c>
      <c r="B46" s="443"/>
      <c r="C46" s="441">
        <v>397</v>
      </c>
      <c r="D46" s="443" t="s">
        <v>1616</v>
      </c>
      <c r="E46" s="845">
        <v>6.6699999999999995E-2</v>
      </c>
      <c r="F46" s="845">
        <v>0</v>
      </c>
      <c r="G46" s="845">
        <v>6.6699999999999995E-2</v>
      </c>
      <c r="I46" s="328"/>
      <c r="J46" s="328"/>
      <c r="K46" s="328"/>
    </row>
    <row r="47" spans="1:11" ht="14.4" x14ac:dyDescent="0.3">
      <c r="A47" s="547">
        <f t="shared" si="2"/>
        <v>35</v>
      </c>
      <c r="B47" s="443"/>
      <c r="C47" s="441">
        <v>397</v>
      </c>
      <c r="D47" s="443" t="s">
        <v>2227</v>
      </c>
      <c r="E47" s="977">
        <v>0.05</v>
      </c>
      <c r="F47" s="845">
        <v>0</v>
      </c>
      <c r="G47" s="977">
        <v>0.05</v>
      </c>
      <c r="I47" s="328"/>
      <c r="J47" s="328"/>
      <c r="K47" s="328"/>
    </row>
    <row r="48" spans="1:11" x14ac:dyDescent="0.25">
      <c r="A48" s="547">
        <f t="shared" si="2"/>
        <v>36</v>
      </c>
      <c r="B48" s="443"/>
      <c r="C48" s="441">
        <v>397</v>
      </c>
      <c r="D48" s="443" t="s">
        <v>1617</v>
      </c>
      <c r="E48" s="845">
        <v>0.04</v>
      </c>
      <c r="F48" s="845">
        <v>0</v>
      </c>
      <c r="G48" s="845">
        <v>0.04</v>
      </c>
    </row>
    <row r="49" spans="1:7" x14ac:dyDescent="0.25">
      <c r="A49" s="547">
        <f t="shared" si="2"/>
        <v>37</v>
      </c>
      <c r="B49" s="443"/>
      <c r="C49" s="441">
        <v>397</v>
      </c>
      <c r="D49" s="443" t="s">
        <v>1618</v>
      </c>
      <c r="E49" s="845">
        <v>2.5000000000000001E-2</v>
      </c>
      <c r="F49" s="845">
        <v>0</v>
      </c>
      <c r="G49" s="845">
        <v>2.5000000000000001E-2</v>
      </c>
    </row>
    <row r="50" spans="1:7" x14ac:dyDescent="0.25">
      <c r="A50" s="547">
        <f t="shared" si="2"/>
        <v>38</v>
      </c>
      <c r="B50" s="443"/>
      <c r="C50" s="441">
        <v>392</v>
      </c>
      <c r="D50" s="443" t="s">
        <v>1619</v>
      </c>
      <c r="E50" s="845">
        <v>0.1429</v>
      </c>
      <c r="F50" s="845">
        <v>0</v>
      </c>
      <c r="G50" s="845">
        <v>0.1429</v>
      </c>
    </row>
    <row r="51" spans="1:7" x14ac:dyDescent="0.25">
      <c r="A51" s="547">
        <f t="shared" si="2"/>
        <v>39</v>
      </c>
      <c r="B51" s="443"/>
      <c r="C51" s="441">
        <v>394.4</v>
      </c>
      <c r="D51" s="443" t="s">
        <v>1620</v>
      </c>
      <c r="E51" s="845">
        <v>0.1</v>
      </c>
      <c r="F51" s="845">
        <v>0</v>
      </c>
      <c r="G51" s="845">
        <v>0.1</v>
      </c>
    </row>
    <row r="52" spans="1:7" x14ac:dyDescent="0.25">
      <c r="A52" s="547">
        <f t="shared" si="2"/>
        <v>40</v>
      </c>
      <c r="B52" s="443"/>
      <c r="C52" s="441">
        <v>394.5</v>
      </c>
      <c r="D52" s="443" t="s">
        <v>1621</v>
      </c>
      <c r="E52" s="845">
        <v>0.1</v>
      </c>
      <c r="F52" s="845">
        <v>0</v>
      </c>
      <c r="G52" s="845">
        <v>0.1</v>
      </c>
    </row>
    <row r="53" spans="1:7" x14ac:dyDescent="0.25">
      <c r="A53" s="547">
        <f t="shared" si="2"/>
        <v>41</v>
      </c>
      <c r="B53" s="443"/>
      <c r="C53" s="441">
        <v>396</v>
      </c>
      <c r="D53" s="443" t="s">
        <v>1622</v>
      </c>
      <c r="E53" s="845">
        <v>6.6699999999999995E-2</v>
      </c>
      <c r="F53" s="845">
        <v>0</v>
      </c>
      <c r="G53" s="845">
        <v>6.6699999999999995E-2</v>
      </c>
    </row>
    <row r="54" spans="1:7" x14ac:dyDescent="0.25">
      <c r="A54" s="443"/>
      <c r="B54" s="443"/>
      <c r="C54" s="443"/>
      <c r="D54" s="443"/>
    </row>
    <row r="55" spans="1:7" x14ac:dyDescent="0.25">
      <c r="A55" s="443"/>
      <c r="B55" s="364" t="s">
        <v>1035</v>
      </c>
      <c r="C55" s="443"/>
      <c r="D55" s="443"/>
      <c r="E55" s="547" t="s">
        <v>376</v>
      </c>
    </row>
    <row r="56" spans="1:7" x14ac:dyDescent="0.25">
      <c r="A56" s="443"/>
      <c r="B56" s="443"/>
      <c r="C56" s="205" t="s">
        <v>12</v>
      </c>
      <c r="D56" s="443"/>
      <c r="E56" s="547" t="s">
        <v>1019</v>
      </c>
      <c r="F56" s="4" t="s">
        <v>1020</v>
      </c>
      <c r="G56" s="4"/>
    </row>
    <row r="57" spans="1:7" x14ac:dyDescent="0.25">
      <c r="A57" s="443"/>
      <c r="B57" s="443"/>
      <c r="C57" s="326" t="s">
        <v>100</v>
      </c>
      <c r="D57" s="326" t="s">
        <v>101</v>
      </c>
      <c r="E57" s="3" t="s">
        <v>1021</v>
      </c>
      <c r="F57" s="3" t="s">
        <v>1022</v>
      </c>
      <c r="G57" s="3" t="s">
        <v>197</v>
      </c>
    </row>
    <row r="58" spans="1:7" x14ac:dyDescent="0.25">
      <c r="A58" s="547">
        <f>A53+1</f>
        <v>42</v>
      </c>
      <c r="B58" s="443"/>
      <c r="C58" s="441">
        <v>302</v>
      </c>
      <c r="D58" s="447" t="s">
        <v>1036</v>
      </c>
      <c r="E58" s="845">
        <v>2.47E-2</v>
      </c>
      <c r="F58" s="845">
        <v>0</v>
      </c>
      <c r="G58" s="845">
        <v>2.47E-2</v>
      </c>
    </row>
    <row r="59" spans="1:7" x14ac:dyDescent="0.25">
      <c r="A59" s="547">
        <f t="shared" ref="A59:A64" si="3">A58+1</f>
        <v>43</v>
      </c>
      <c r="B59" s="443"/>
      <c r="C59" s="441">
        <v>303</v>
      </c>
      <c r="D59" s="447" t="s">
        <v>1037</v>
      </c>
      <c r="E59" s="845">
        <v>2.5000000000000001E-2</v>
      </c>
      <c r="F59" s="845">
        <v>0</v>
      </c>
      <c r="G59" s="845">
        <v>2.5000000000000001E-2</v>
      </c>
    </row>
    <row r="60" spans="1:7" x14ac:dyDescent="0.25">
      <c r="A60" s="547">
        <f t="shared" si="3"/>
        <v>44</v>
      </c>
      <c r="B60" s="443"/>
      <c r="C60" s="441">
        <v>301</v>
      </c>
      <c r="D60" s="447" t="s">
        <v>1038</v>
      </c>
      <c r="E60" s="845">
        <v>0.05</v>
      </c>
      <c r="F60" s="845">
        <v>0</v>
      </c>
      <c r="G60" s="845">
        <v>0.05</v>
      </c>
    </row>
    <row r="61" spans="1:7" x14ac:dyDescent="0.25">
      <c r="A61" s="547">
        <f t="shared" si="3"/>
        <v>45</v>
      </c>
      <c r="B61" s="443"/>
      <c r="C61" s="441">
        <v>303</v>
      </c>
      <c r="D61" s="447" t="s">
        <v>1039</v>
      </c>
      <c r="E61" s="845">
        <v>0.2031</v>
      </c>
      <c r="F61" s="845">
        <v>0</v>
      </c>
      <c r="G61" s="845">
        <v>0.2031</v>
      </c>
    </row>
    <row r="62" spans="1:7" x14ac:dyDescent="0.25">
      <c r="A62" s="547">
        <f t="shared" si="3"/>
        <v>46</v>
      </c>
      <c r="B62" s="443"/>
      <c r="C62" s="441">
        <v>303</v>
      </c>
      <c r="D62" s="447" t="s">
        <v>1040</v>
      </c>
      <c r="E62" s="845">
        <v>0.1462</v>
      </c>
      <c r="F62" s="845">
        <v>0</v>
      </c>
      <c r="G62" s="845">
        <v>0.1462</v>
      </c>
    </row>
    <row r="63" spans="1:7" x14ac:dyDescent="0.25">
      <c r="A63" s="547">
        <f t="shared" si="3"/>
        <v>47</v>
      </c>
      <c r="B63" s="443"/>
      <c r="C63" s="441">
        <v>303</v>
      </c>
      <c r="D63" s="447" t="s">
        <v>1041</v>
      </c>
      <c r="E63" s="845">
        <v>0.1293</v>
      </c>
      <c r="F63" s="845">
        <v>0</v>
      </c>
      <c r="G63" s="845">
        <v>0.1293</v>
      </c>
    </row>
    <row r="64" spans="1:7" x14ac:dyDescent="0.25">
      <c r="A64" s="547">
        <f t="shared" si="3"/>
        <v>48</v>
      </c>
      <c r="B64" s="443"/>
      <c r="C64" s="441">
        <v>303</v>
      </c>
      <c r="D64" s="447" t="s">
        <v>1042</v>
      </c>
      <c r="E64" s="845">
        <v>8.48E-2</v>
      </c>
      <c r="F64" s="845">
        <v>0</v>
      </c>
      <c r="G64" s="845">
        <v>8.48E-2</v>
      </c>
    </row>
    <row r="65" spans="1:6" x14ac:dyDescent="0.25">
      <c r="A65" s="443"/>
      <c r="B65" s="445" t="s">
        <v>1742</v>
      </c>
      <c r="C65" s="445"/>
      <c r="D65" s="445"/>
      <c r="E65" s="445"/>
      <c r="F65" s="445"/>
    </row>
    <row r="66" spans="1:6" x14ac:dyDescent="0.25">
      <c r="A66" s="443"/>
      <c r="B66" s="445" t="s">
        <v>2490</v>
      </c>
      <c r="C66" s="445"/>
      <c r="D66" s="445"/>
      <c r="E66" s="445"/>
      <c r="F66" s="445"/>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8"/>
  <sheetViews>
    <sheetView zoomScale="85" zoomScaleNormal="85" workbookViewId="0"/>
  </sheetViews>
  <sheetFormatPr defaultColWidth="9.109375" defaultRowHeight="13.2" x14ac:dyDescent="0.25"/>
  <cols>
    <col min="1" max="1" width="5.6640625" style="456" customWidth="1"/>
    <col min="2" max="2" width="50.6640625" style="456" customWidth="1"/>
    <col min="3" max="5" width="14.6640625" style="454" customWidth="1"/>
    <col min="6" max="6" width="12.6640625" style="834" customWidth="1"/>
    <col min="7" max="7" width="16.6640625" style="808" customWidth="1"/>
    <col min="8" max="9" width="14.6640625" style="809" customWidth="1"/>
    <col min="10" max="12" width="14.6640625" style="456" customWidth="1"/>
    <col min="13" max="16384" width="9.109375" style="443"/>
  </cols>
  <sheetData>
    <row r="1" spans="1:12" ht="12.75" customHeight="1" x14ac:dyDescent="0.4">
      <c r="A1" s="378" t="s">
        <v>1271</v>
      </c>
      <c r="C1" s="379"/>
      <c r="D1" s="380"/>
      <c r="E1" s="380"/>
      <c r="F1" s="381"/>
      <c r="G1" s="382"/>
      <c r="H1" s="382"/>
      <c r="I1" s="382"/>
      <c r="J1" s="382"/>
      <c r="K1" s="443"/>
      <c r="L1" s="443"/>
    </row>
    <row r="2" spans="1:12" ht="12.75" customHeight="1" x14ac:dyDescent="0.4">
      <c r="A2" s="383"/>
      <c r="C2" s="379"/>
      <c r="D2" s="380"/>
      <c r="E2" s="380"/>
      <c r="F2" s="384"/>
      <c r="G2" s="670" t="s">
        <v>304</v>
      </c>
      <c r="H2" s="453"/>
      <c r="I2" s="380"/>
      <c r="J2" s="382"/>
      <c r="K2" s="382"/>
      <c r="L2" s="382"/>
    </row>
    <row r="3" spans="1:12" ht="12.75" customHeight="1" x14ac:dyDescent="0.25">
      <c r="A3" s="385"/>
      <c r="B3" s="386" t="s">
        <v>1272</v>
      </c>
      <c r="C3" s="388"/>
      <c r="D3" s="388"/>
      <c r="E3" s="388"/>
      <c r="F3" s="389"/>
      <c r="G3" s="387"/>
      <c r="H3" s="387"/>
      <c r="I3" s="387"/>
      <c r="J3" s="387"/>
      <c r="K3" s="387"/>
      <c r="L3" s="390"/>
    </row>
    <row r="4" spans="1:12" ht="12.75" customHeight="1" x14ac:dyDescent="0.4">
      <c r="A4" s="391"/>
      <c r="B4" s="383"/>
      <c r="C4" s="392"/>
      <c r="D4" s="392"/>
      <c r="E4" s="392"/>
      <c r="F4" s="393"/>
      <c r="G4" s="23"/>
      <c r="H4" s="23"/>
      <c r="I4" s="23"/>
      <c r="J4" s="23"/>
      <c r="K4" s="23"/>
      <c r="L4" s="382"/>
    </row>
    <row r="5" spans="1:12" ht="12.75" customHeight="1" x14ac:dyDescent="0.25">
      <c r="A5" s="387"/>
      <c r="B5" s="394" t="s">
        <v>363</v>
      </c>
      <c r="C5" s="394" t="s">
        <v>347</v>
      </c>
      <c r="D5" s="394" t="s">
        <v>348</v>
      </c>
      <c r="E5" s="394" t="s">
        <v>349</v>
      </c>
      <c r="F5" s="395" t="s">
        <v>350</v>
      </c>
      <c r="G5" s="394" t="s">
        <v>351</v>
      </c>
      <c r="H5" s="394" t="s">
        <v>352</v>
      </c>
      <c r="I5" s="394" t="s">
        <v>541</v>
      </c>
      <c r="J5" s="394" t="s">
        <v>955</v>
      </c>
      <c r="K5" s="394" t="s">
        <v>967</v>
      </c>
      <c r="L5" s="394" t="s">
        <v>970</v>
      </c>
    </row>
    <row r="6" spans="1:12" ht="12.75" customHeight="1" x14ac:dyDescent="0.25">
      <c r="A6" s="391"/>
      <c r="B6" s="383"/>
      <c r="C6" s="538" t="s">
        <v>1273</v>
      </c>
      <c r="D6" s="392"/>
      <c r="E6" s="392"/>
      <c r="F6" s="804" t="s">
        <v>365</v>
      </c>
      <c r="G6" s="538" t="s">
        <v>1274</v>
      </c>
      <c r="H6" s="396"/>
      <c r="I6" s="396"/>
      <c r="J6" s="538" t="s">
        <v>1275</v>
      </c>
      <c r="K6" s="538" t="s">
        <v>1276</v>
      </c>
      <c r="L6" s="539" t="s">
        <v>1277</v>
      </c>
    </row>
    <row r="7" spans="1:12" ht="12.75" customHeight="1" x14ac:dyDescent="0.25">
      <c r="C7" s="805"/>
      <c r="D7" s="806"/>
      <c r="E7" s="806"/>
      <c r="F7" s="807"/>
      <c r="J7" s="810"/>
    </row>
    <row r="8" spans="1:12" x14ac:dyDescent="0.25">
      <c r="A8" s="397"/>
      <c r="B8" s="1179" t="s">
        <v>1278</v>
      </c>
      <c r="C8" s="1181" t="s">
        <v>1279</v>
      </c>
      <c r="D8" s="1181"/>
      <c r="E8" s="1181"/>
      <c r="F8" s="398"/>
      <c r="G8" s="1182" t="s">
        <v>1280</v>
      </c>
      <c r="H8" s="1182"/>
      <c r="I8" s="1183"/>
      <c r="J8" s="1185" t="s">
        <v>1281</v>
      </c>
      <c r="K8" s="1182"/>
      <c r="L8" s="1183"/>
    </row>
    <row r="9" spans="1:12" x14ac:dyDescent="0.25">
      <c r="A9" s="44"/>
      <c r="B9" s="1180"/>
      <c r="C9" s="803" t="s">
        <v>197</v>
      </c>
      <c r="D9" s="803" t="s">
        <v>1282</v>
      </c>
      <c r="E9" s="399" t="s">
        <v>1283</v>
      </c>
      <c r="F9" s="400" t="s">
        <v>1225</v>
      </c>
      <c r="G9" s="399" t="s">
        <v>197</v>
      </c>
      <c r="H9" s="399" t="s">
        <v>1282</v>
      </c>
      <c r="I9" s="399" t="s">
        <v>1283</v>
      </c>
      <c r="J9" s="803" t="s">
        <v>197</v>
      </c>
      <c r="K9" s="399" t="s">
        <v>1282</v>
      </c>
      <c r="L9" s="399" t="s">
        <v>1283</v>
      </c>
    </row>
    <row r="10" spans="1:12" x14ac:dyDescent="0.25">
      <c r="A10" s="44" t="s">
        <v>332</v>
      </c>
      <c r="B10" s="401" t="s">
        <v>1284</v>
      </c>
      <c r="C10" s="222"/>
      <c r="D10" s="222"/>
      <c r="E10" s="402"/>
      <c r="F10" s="403"/>
      <c r="G10" s="402"/>
      <c r="H10" s="402"/>
      <c r="I10" s="402"/>
      <c r="J10" s="222"/>
      <c r="K10" s="402"/>
      <c r="L10" s="402"/>
    </row>
    <row r="11" spans="1:12" x14ac:dyDescent="0.25">
      <c r="A11" s="547">
        <v>1</v>
      </c>
      <c r="B11" s="459" t="s">
        <v>2392</v>
      </c>
      <c r="C11" s="940">
        <v>0</v>
      </c>
      <c r="D11" s="932">
        <v>0</v>
      </c>
      <c r="E11" s="932">
        <v>0</v>
      </c>
      <c r="F11" s="934" t="s">
        <v>1388</v>
      </c>
      <c r="G11" s="940">
        <v>0</v>
      </c>
      <c r="H11" s="932">
        <v>0</v>
      </c>
      <c r="I11" s="932">
        <v>0</v>
      </c>
      <c r="J11" s="940">
        <v>0</v>
      </c>
      <c r="K11" s="940">
        <v>0</v>
      </c>
      <c r="L11" s="940">
        <v>0</v>
      </c>
    </row>
    <row r="12" spans="1:12" x14ac:dyDescent="0.25">
      <c r="A12" s="547">
        <f>A11+1</f>
        <v>2</v>
      </c>
      <c r="B12" s="459" t="s">
        <v>1285</v>
      </c>
      <c r="C12" s="940">
        <v>0</v>
      </c>
      <c r="D12" s="932">
        <v>0</v>
      </c>
      <c r="E12" s="932">
        <v>0</v>
      </c>
      <c r="F12" s="934" t="s">
        <v>1388</v>
      </c>
      <c r="G12" s="940">
        <v>0</v>
      </c>
      <c r="H12" s="932">
        <v>0</v>
      </c>
      <c r="I12" s="932">
        <v>0</v>
      </c>
      <c r="J12" s="940">
        <v>0</v>
      </c>
      <c r="K12" s="940">
        <v>0</v>
      </c>
      <c r="L12" s="940">
        <v>0</v>
      </c>
    </row>
    <row r="13" spans="1:12" x14ac:dyDescent="0.25">
      <c r="A13" s="547">
        <f t="shared" ref="A13:A44" si="0">A12+1</f>
        <v>3</v>
      </c>
      <c r="B13" s="565" t="s">
        <v>2410</v>
      </c>
      <c r="C13" s="940">
        <v>0</v>
      </c>
      <c r="D13" s="932">
        <v>0</v>
      </c>
      <c r="E13" s="932">
        <v>0</v>
      </c>
      <c r="F13" s="934" t="s">
        <v>1388</v>
      </c>
      <c r="G13" s="940">
        <v>0</v>
      </c>
      <c r="H13" s="932">
        <v>0</v>
      </c>
      <c r="I13" s="932">
        <v>0</v>
      </c>
      <c r="J13" s="940">
        <v>0</v>
      </c>
      <c r="K13" s="940">
        <v>0</v>
      </c>
      <c r="L13" s="940">
        <v>0</v>
      </c>
    </row>
    <row r="14" spans="1:12" x14ac:dyDescent="0.25">
      <c r="A14" s="547">
        <f t="shared" si="0"/>
        <v>4</v>
      </c>
      <c r="B14" s="565" t="s">
        <v>1286</v>
      </c>
      <c r="C14" s="940">
        <v>0</v>
      </c>
      <c r="D14" s="932">
        <v>0</v>
      </c>
      <c r="E14" s="932">
        <v>0</v>
      </c>
      <c r="F14" s="934" t="s">
        <v>1388</v>
      </c>
      <c r="G14" s="940">
        <v>0</v>
      </c>
      <c r="H14" s="932">
        <v>0</v>
      </c>
      <c r="I14" s="932">
        <v>0</v>
      </c>
      <c r="J14" s="940">
        <v>0</v>
      </c>
      <c r="K14" s="940">
        <v>0</v>
      </c>
      <c r="L14" s="940">
        <v>0</v>
      </c>
    </row>
    <row r="15" spans="1:12" x14ac:dyDescent="0.25">
      <c r="A15" s="547">
        <f t="shared" si="0"/>
        <v>5</v>
      </c>
      <c r="B15" s="565" t="s">
        <v>2411</v>
      </c>
      <c r="C15" s="940">
        <v>0</v>
      </c>
      <c r="D15" s="932">
        <v>0</v>
      </c>
      <c r="E15" s="932">
        <v>0</v>
      </c>
      <c r="F15" s="934" t="s">
        <v>1388</v>
      </c>
      <c r="G15" s="940">
        <v>0</v>
      </c>
      <c r="H15" s="932">
        <v>0</v>
      </c>
      <c r="I15" s="932">
        <v>0</v>
      </c>
      <c r="J15" s="940">
        <v>0</v>
      </c>
      <c r="K15" s="940">
        <v>0</v>
      </c>
      <c r="L15" s="940">
        <v>0</v>
      </c>
    </row>
    <row r="16" spans="1:12" x14ac:dyDescent="0.25">
      <c r="A16" s="547">
        <f t="shared" si="0"/>
        <v>6</v>
      </c>
      <c r="B16" s="565" t="s">
        <v>2391</v>
      </c>
      <c r="C16" s="940">
        <v>0</v>
      </c>
      <c r="D16" s="932">
        <v>0</v>
      </c>
      <c r="E16" s="932">
        <v>0</v>
      </c>
      <c r="F16" s="934" t="s">
        <v>1388</v>
      </c>
      <c r="G16" s="940">
        <v>0</v>
      </c>
      <c r="H16" s="932">
        <v>0</v>
      </c>
      <c r="I16" s="932">
        <v>0</v>
      </c>
      <c r="J16" s="940">
        <v>0</v>
      </c>
      <c r="K16" s="940">
        <v>0</v>
      </c>
      <c r="L16" s="940">
        <v>0</v>
      </c>
    </row>
    <row r="17" spans="1:12" x14ac:dyDescent="0.25">
      <c r="A17" s="547">
        <f t="shared" si="0"/>
        <v>7</v>
      </c>
      <c r="B17" s="565" t="s">
        <v>1287</v>
      </c>
      <c r="C17" s="940">
        <v>0</v>
      </c>
      <c r="D17" s="932">
        <v>0</v>
      </c>
      <c r="E17" s="932">
        <v>0</v>
      </c>
      <c r="F17" s="934" t="s">
        <v>1388</v>
      </c>
      <c r="G17" s="940">
        <v>0</v>
      </c>
      <c r="H17" s="932">
        <v>0</v>
      </c>
      <c r="I17" s="932">
        <v>0</v>
      </c>
      <c r="J17" s="940">
        <v>0</v>
      </c>
      <c r="K17" s="940">
        <v>0</v>
      </c>
      <c r="L17" s="940">
        <v>0</v>
      </c>
    </row>
    <row r="18" spans="1:12" x14ac:dyDescent="0.25">
      <c r="A18" s="547">
        <f t="shared" si="0"/>
        <v>8</v>
      </c>
      <c r="B18" s="565" t="s">
        <v>1288</v>
      </c>
      <c r="C18" s="940">
        <v>0</v>
      </c>
      <c r="D18" s="932">
        <v>0</v>
      </c>
      <c r="E18" s="932">
        <v>0</v>
      </c>
      <c r="F18" s="934" t="s">
        <v>1388</v>
      </c>
      <c r="G18" s="940">
        <v>0</v>
      </c>
      <c r="H18" s="932">
        <v>0</v>
      </c>
      <c r="I18" s="932">
        <v>0</v>
      </c>
      <c r="J18" s="940">
        <v>0</v>
      </c>
      <c r="K18" s="940">
        <v>0</v>
      </c>
      <c r="L18" s="940">
        <v>0</v>
      </c>
    </row>
    <row r="19" spans="1:12" x14ac:dyDescent="0.25">
      <c r="A19" s="547">
        <f t="shared" si="0"/>
        <v>9</v>
      </c>
      <c r="B19" s="565" t="s">
        <v>2393</v>
      </c>
      <c r="C19" s="940">
        <v>0</v>
      </c>
      <c r="D19" s="932">
        <v>0</v>
      </c>
      <c r="E19" s="932">
        <v>0</v>
      </c>
      <c r="F19" s="934" t="s">
        <v>1388</v>
      </c>
      <c r="G19" s="940">
        <v>0</v>
      </c>
      <c r="H19" s="932">
        <v>0</v>
      </c>
      <c r="I19" s="932">
        <v>0</v>
      </c>
      <c r="J19" s="940">
        <v>0</v>
      </c>
      <c r="K19" s="940">
        <v>0</v>
      </c>
      <c r="L19" s="940">
        <v>0</v>
      </c>
    </row>
    <row r="20" spans="1:12" x14ac:dyDescent="0.25">
      <c r="A20" s="547">
        <f t="shared" si="0"/>
        <v>10</v>
      </c>
      <c r="B20" s="565" t="s">
        <v>2394</v>
      </c>
      <c r="C20" s="940">
        <v>0</v>
      </c>
      <c r="D20" s="932">
        <v>0</v>
      </c>
      <c r="E20" s="932">
        <v>0</v>
      </c>
      <c r="F20" s="934" t="s">
        <v>1388</v>
      </c>
      <c r="G20" s="940">
        <v>0</v>
      </c>
      <c r="H20" s="932">
        <v>0</v>
      </c>
      <c r="I20" s="932">
        <v>0</v>
      </c>
      <c r="J20" s="940">
        <v>0</v>
      </c>
      <c r="K20" s="940">
        <v>0</v>
      </c>
      <c r="L20" s="940">
        <v>0</v>
      </c>
    </row>
    <row r="21" spans="1:12" x14ac:dyDescent="0.25">
      <c r="A21" s="547">
        <f t="shared" si="0"/>
        <v>11</v>
      </c>
      <c r="B21" s="565" t="s">
        <v>2395</v>
      </c>
      <c r="C21" s="940">
        <v>0</v>
      </c>
      <c r="D21" s="932">
        <v>0</v>
      </c>
      <c r="E21" s="932">
        <v>0</v>
      </c>
      <c r="F21" s="934" t="s">
        <v>1388</v>
      </c>
      <c r="G21" s="940">
        <v>0</v>
      </c>
      <c r="H21" s="932">
        <v>0</v>
      </c>
      <c r="I21" s="932">
        <v>0</v>
      </c>
      <c r="J21" s="940">
        <v>0</v>
      </c>
      <c r="K21" s="940">
        <v>0</v>
      </c>
      <c r="L21" s="940">
        <v>0</v>
      </c>
    </row>
    <row r="22" spans="1:12" x14ac:dyDescent="0.25">
      <c r="A22" s="547">
        <f t="shared" si="0"/>
        <v>12</v>
      </c>
      <c r="B22" s="565" t="s">
        <v>1290</v>
      </c>
      <c r="C22" s="940">
        <v>0</v>
      </c>
      <c r="D22" s="932">
        <v>0</v>
      </c>
      <c r="E22" s="932">
        <v>0</v>
      </c>
      <c r="F22" s="934" t="s">
        <v>1388</v>
      </c>
      <c r="G22" s="940">
        <v>0</v>
      </c>
      <c r="H22" s="932">
        <v>0</v>
      </c>
      <c r="I22" s="932">
        <v>0</v>
      </c>
      <c r="J22" s="940">
        <v>0</v>
      </c>
      <c r="K22" s="940">
        <v>0</v>
      </c>
      <c r="L22" s="940">
        <v>0</v>
      </c>
    </row>
    <row r="23" spans="1:12" x14ac:dyDescent="0.25">
      <c r="A23" s="547">
        <f t="shared" si="0"/>
        <v>13</v>
      </c>
      <c r="B23" s="565" t="s">
        <v>1291</v>
      </c>
      <c r="C23" s="940">
        <v>0</v>
      </c>
      <c r="D23" s="932">
        <v>0</v>
      </c>
      <c r="E23" s="932">
        <v>0</v>
      </c>
      <c r="F23" s="934" t="s">
        <v>1388</v>
      </c>
      <c r="G23" s="940">
        <v>0</v>
      </c>
      <c r="H23" s="932">
        <v>0</v>
      </c>
      <c r="I23" s="932">
        <v>0</v>
      </c>
      <c r="J23" s="940">
        <v>0</v>
      </c>
      <c r="K23" s="940">
        <v>0</v>
      </c>
      <c r="L23" s="940">
        <v>0</v>
      </c>
    </row>
    <row r="24" spans="1:12" x14ac:dyDescent="0.25">
      <c r="A24" s="547">
        <f t="shared" si="0"/>
        <v>14</v>
      </c>
      <c r="B24" s="565" t="s">
        <v>2396</v>
      </c>
      <c r="C24" s="940">
        <v>0</v>
      </c>
      <c r="D24" s="932">
        <v>0</v>
      </c>
      <c r="E24" s="932">
        <v>0</v>
      </c>
      <c r="F24" s="934" t="s">
        <v>1388</v>
      </c>
      <c r="G24" s="940">
        <v>0</v>
      </c>
      <c r="H24" s="932">
        <v>0</v>
      </c>
      <c r="I24" s="932">
        <v>0</v>
      </c>
      <c r="J24" s="940">
        <v>0</v>
      </c>
      <c r="K24" s="940">
        <v>0</v>
      </c>
      <c r="L24" s="940">
        <v>0</v>
      </c>
    </row>
    <row r="25" spans="1:12" x14ac:dyDescent="0.25">
      <c r="A25" s="547">
        <f t="shared" si="0"/>
        <v>15</v>
      </c>
      <c r="B25" s="565" t="s">
        <v>1292</v>
      </c>
      <c r="C25" s="940">
        <v>0</v>
      </c>
      <c r="D25" s="932">
        <v>0</v>
      </c>
      <c r="E25" s="932">
        <v>0</v>
      </c>
      <c r="F25" s="934" t="s">
        <v>1388</v>
      </c>
      <c r="G25" s="940">
        <v>0</v>
      </c>
      <c r="H25" s="932">
        <v>0</v>
      </c>
      <c r="I25" s="932">
        <v>0</v>
      </c>
      <c r="J25" s="940">
        <v>0</v>
      </c>
      <c r="K25" s="940">
        <v>0</v>
      </c>
      <c r="L25" s="940">
        <v>0</v>
      </c>
    </row>
    <row r="26" spans="1:12" x14ac:dyDescent="0.25">
      <c r="A26" s="547">
        <f t="shared" si="0"/>
        <v>16</v>
      </c>
      <c r="B26" s="565" t="s">
        <v>1293</v>
      </c>
      <c r="C26" s="940">
        <v>0</v>
      </c>
      <c r="D26" s="932">
        <v>0</v>
      </c>
      <c r="E26" s="932">
        <v>0</v>
      </c>
      <c r="F26" s="934" t="s">
        <v>1388</v>
      </c>
      <c r="G26" s="940">
        <v>0</v>
      </c>
      <c r="H26" s="932">
        <v>0</v>
      </c>
      <c r="I26" s="932">
        <v>0</v>
      </c>
      <c r="J26" s="940">
        <v>0</v>
      </c>
      <c r="K26" s="940">
        <v>0</v>
      </c>
      <c r="L26" s="940">
        <v>0</v>
      </c>
    </row>
    <row r="27" spans="1:12" x14ac:dyDescent="0.25">
      <c r="A27" s="547">
        <f t="shared" si="0"/>
        <v>17</v>
      </c>
      <c r="B27" s="565" t="s">
        <v>2397</v>
      </c>
      <c r="C27" s="940">
        <v>0</v>
      </c>
      <c r="D27" s="932">
        <v>0</v>
      </c>
      <c r="E27" s="932">
        <v>0</v>
      </c>
      <c r="F27" s="934" t="s">
        <v>1388</v>
      </c>
      <c r="G27" s="940">
        <v>0</v>
      </c>
      <c r="H27" s="932">
        <v>0</v>
      </c>
      <c r="I27" s="932">
        <v>0</v>
      </c>
      <c r="J27" s="940">
        <v>0</v>
      </c>
      <c r="K27" s="940">
        <v>0</v>
      </c>
      <c r="L27" s="940">
        <v>0</v>
      </c>
    </row>
    <row r="28" spans="1:12" x14ac:dyDescent="0.25">
      <c r="A28" s="94">
        <f t="shared" si="0"/>
        <v>18</v>
      </c>
      <c r="B28" s="565" t="s">
        <v>1294</v>
      </c>
      <c r="C28" s="940">
        <v>0</v>
      </c>
      <c r="D28" s="932">
        <v>0</v>
      </c>
      <c r="E28" s="932">
        <v>0</v>
      </c>
      <c r="F28" s="934" t="s">
        <v>1388</v>
      </c>
      <c r="G28" s="940">
        <v>0</v>
      </c>
      <c r="H28" s="932">
        <v>0</v>
      </c>
      <c r="I28" s="932">
        <v>0</v>
      </c>
      <c r="J28" s="940">
        <v>0</v>
      </c>
      <c r="K28" s="940">
        <v>0</v>
      </c>
      <c r="L28" s="940">
        <v>0</v>
      </c>
    </row>
    <row r="29" spans="1:12" x14ac:dyDescent="0.25">
      <c r="A29" s="94">
        <f t="shared" si="0"/>
        <v>19</v>
      </c>
      <c r="B29" s="565" t="s">
        <v>1295</v>
      </c>
      <c r="C29" s="940">
        <v>0</v>
      </c>
      <c r="D29" s="932">
        <v>0</v>
      </c>
      <c r="E29" s="932">
        <v>0</v>
      </c>
      <c r="F29" s="934" t="s">
        <v>1388</v>
      </c>
      <c r="G29" s="940">
        <v>0</v>
      </c>
      <c r="H29" s="932">
        <v>0</v>
      </c>
      <c r="I29" s="932">
        <v>0</v>
      </c>
      <c r="J29" s="940">
        <v>0</v>
      </c>
      <c r="K29" s="940">
        <v>0</v>
      </c>
      <c r="L29" s="940">
        <v>0</v>
      </c>
    </row>
    <row r="30" spans="1:12" x14ac:dyDescent="0.25">
      <c r="A30" s="94">
        <f t="shared" si="0"/>
        <v>20</v>
      </c>
      <c r="B30" s="565" t="s">
        <v>2398</v>
      </c>
      <c r="C30" s="940">
        <v>0</v>
      </c>
      <c r="D30" s="932">
        <v>0</v>
      </c>
      <c r="E30" s="932">
        <v>0</v>
      </c>
      <c r="F30" s="934" t="s">
        <v>1388</v>
      </c>
      <c r="G30" s="940">
        <v>0</v>
      </c>
      <c r="H30" s="932">
        <v>0</v>
      </c>
      <c r="I30" s="932">
        <v>0</v>
      </c>
      <c r="J30" s="940">
        <v>0</v>
      </c>
      <c r="K30" s="940">
        <v>0</v>
      </c>
      <c r="L30" s="940">
        <v>0</v>
      </c>
    </row>
    <row r="31" spans="1:12" x14ac:dyDescent="0.25">
      <c r="A31" s="94">
        <f t="shared" si="0"/>
        <v>21</v>
      </c>
      <c r="B31" s="565" t="s">
        <v>1296</v>
      </c>
      <c r="C31" s="940">
        <v>0</v>
      </c>
      <c r="D31" s="932">
        <v>0</v>
      </c>
      <c r="E31" s="932">
        <v>0</v>
      </c>
      <c r="F31" s="934" t="s">
        <v>1388</v>
      </c>
      <c r="G31" s="940">
        <v>0</v>
      </c>
      <c r="H31" s="932">
        <v>0</v>
      </c>
      <c r="I31" s="932">
        <v>0</v>
      </c>
      <c r="J31" s="940">
        <v>0</v>
      </c>
      <c r="K31" s="940">
        <v>0</v>
      </c>
      <c r="L31" s="940">
        <v>0</v>
      </c>
    </row>
    <row r="32" spans="1:12" x14ac:dyDescent="0.25">
      <c r="A32" s="94">
        <f t="shared" si="0"/>
        <v>22</v>
      </c>
      <c r="B32" s="565" t="s">
        <v>2399</v>
      </c>
      <c r="C32" s="940">
        <v>0</v>
      </c>
      <c r="D32" s="932">
        <v>0</v>
      </c>
      <c r="E32" s="932">
        <v>0</v>
      </c>
      <c r="F32" s="934" t="s">
        <v>1388</v>
      </c>
      <c r="G32" s="940">
        <v>0</v>
      </c>
      <c r="H32" s="932">
        <v>0</v>
      </c>
      <c r="I32" s="932">
        <v>0</v>
      </c>
      <c r="J32" s="940">
        <v>0</v>
      </c>
      <c r="K32" s="940">
        <v>0</v>
      </c>
      <c r="L32" s="940">
        <v>0</v>
      </c>
    </row>
    <row r="33" spans="1:12" x14ac:dyDescent="0.25">
      <c r="A33" s="94">
        <f t="shared" si="0"/>
        <v>23</v>
      </c>
      <c r="B33" s="565" t="s">
        <v>1297</v>
      </c>
      <c r="C33" s="940">
        <v>0</v>
      </c>
      <c r="D33" s="932">
        <v>0</v>
      </c>
      <c r="E33" s="932">
        <v>0</v>
      </c>
      <c r="F33" s="934" t="s">
        <v>1388</v>
      </c>
      <c r="G33" s="940">
        <v>0</v>
      </c>
      <c r="H33" s="932">
        <v>0</v>
      </c>
      <c r="I33" s="932">
        <v>0</v>
      </c>
      <c r="J33" s="940">
        <v>0</v>
      </c>
      <c r="K33" s="940">
        <v>0</v>
      </c>
      <c r="L33" s="940">
        <v>0</v>
      </c>
    </row>
    <row r="34" spans="1:12" x14ac:dyDescent="0.25">
      <c r="A34" s="94">
        <f t="shared" si="0"/>
        <v>24</v>
      </c>
      <c r="B34" s="565" t="s">
        <v>2400</v>
      </c>
      <c r="C34" s="940">
        <v>0</v>
      </c>
      <c r="D34" s="932">
        <v>0</v>
      </c>
      <c r="E34" s="932">
        <v>0</v>
      </c>
      <c r="F34" s="934" t="s">
        <v>1388</v>
      </c>
      <c r="G34" s="940">
        <v>0</v>
      </c>
      <c r="H34" s="932">
        <v>0</v>
      </c>
      <c r="I34" s="932">
        <v>0</v>
      </c>
      <c r="J34" s="940">
        <v>0</v>
      </c>
      <c r="K34" s="940">
        <v>0</v>
      </c>
      <c r="L34" s="940">
        <v>0</v>
      </c>
    </row>
    <row r="35" spans="1:12" x14ac:dyDescent="0.25">
      <c r="A35" s="94">
        <f t="shared" si="0"/>
        <v>25</v>
      </c>
      <c r="B35" s="565" t="s">
        <v>1298</v>
      </c>
      <c r="C35" s="940">
        <v>0</v>
      </c>
      <c r="D35" s="932">
        <v>0</v>
      </c>
      <c r="E35" s="932">
        <v>0</v>
      </c>
      <c r="F35" s="934" t="s">
        <v>1388</v>
      </c>
      <c r="G35" s="940">
        <v>0</v>
      </c>
      <c r="H35" s="932">
        <v>0</v>
      </c>
      <c r="I35" s="932">
        <v>0</v>
      </c>
      <c r="J35" s="940">
        <v>0</v>
      </c>
      <c r="K35" s="940">
        <v>0</v>
      </c>
      <c r="L35" s="940">
        <v>0</v>
      </c>
    </row>
    <row r="36" spans="1:12" x14ac:dyDescent="0.25">
      <c r="A36" s="94">
        <f t="shared" si="0"/>
        <v>26</v>
      </c>
      <c r="B36" s="565" t="s">
        <v>2401</v>
      </c>
      <c r="C36" s="940">
        <v>0</v>
      </c>
      <c r="D36" s="932">
        <v>0</v>
      </c>
      <c r="E36" s="932">
        <v>0</v>
      </c>
      <c r="F36" s="934" t="s">
        <v>1388</v>
      </c>
      <c r="G36" s="940">
        <v>0</v>
      </c>
      <c r="H36" s="932">
        <v>0</v>
      </c>
      <c r="I36" s="932">
        <v>0</v>
      </c>
      <c r="J36" s="940">
        <v>0</v>
      </c>
      <c r="K36" s="940">
        <v>0</v>
      </c>
      <c r="L36" s="940">
        <v>0</v>
      </c>
    </row>
    <row r="37" spans="1:12" x14ac:dyDescent="0.25">
      <c r="A37" s="94">
        <f t="shared" si="0"/>
        <v>27</v>
      </c>
      <c r="B37" s="565" t="s">
        <v>1299</v>
      </c>
      <c r="C37" s="940">
        <v>0</v>
      </c>
      <c r="D37" s="932">
        <v>0</v>
      </c>
      <c r="E37" s="932">
        <v>0</v>
      </c>
      <c r="F37" s="934" t="s">
        <v>1388</v>
      </c>
      <c r="G37" s="940">
        <v>0</v>
      </c>
      <c r="H37" s="932">
        <v>0</v>
      </c>
      <c r="I37" s="932">
        <v>0</v>
      </c>
      <c r="J37" s="940">
        <v>0</v>
      </c>
      <c r="K37" s="940">
        <v>0</v>
      </c>
      <c r="L37" s="940">
        <v>0</v>
      </c>
    </row>
    <row r="38" spans="1:12" x14ac:dyDescent="0.25">
      <c r="A38" s="94">
        <f t="shared" si="0"/>
        <v>28</v>
      </c>
      <c r="B38" s="565" t="s">
        <v>2408</v>
      </c>
      <c r="C38" s="940">
        <v>0</v>
      </c>
      <c r="D38" s="932">
        <v>0</v>
      </c>
      <c r="E38" s="932">
        <v>0</v>
      </c>
      <c r="F38" s="934" t="s">
        <v>1388</v>
      </c>
      <c r="G38" s="940">
        <v>0</v>
      </c>
      <c r="H38" s="932">
        <v>0</v>
      </c>
      <c r="I38" s="932">
        <v>0</v>
      </c>
      <c r="J38" s="940">
        <v>0</v>
      </c>
      <c r="K38" s="940">
        <v>0</v>
      </c>
      <c r="L38" s="940">
        <v>0</v>
      </c>
    </row>
    <row r="39" spans="1:12" x14ac:dyDescent="0.25">
      <c r="A39" s="94">
        <f t="shared" si="0"/>
        <v>29</v>
      </c>
      <c r="B39" s="565" t="s">
        <v>1301</v>
      </c>
      <c r="C39" s="940">
        <v>0</v>
      </c>
      <c r="D39" s="932">
        <v>0</v>
      </c>
      <c r="E39" s="932">
        <v>0</v>
      </c>
      <c r="F39" s="934" t="s">
        <v>1388</v>
      </c>
      <c r="G39" s="940">
        <v>0</v>
      </c>
      <c r="H39" s="932">
        <v>0</v>
      </c>
      <c r="I39" s="932">
        <v>0</v>
      </c>
      <c r="J39" s="940">
        <v>0</v>
      </c>
      <c r="K39" s="940">
        <v>0</v>
      </c>
      <c r="L39" s="940">
        <v>0</v>
      </c>
    </row>
    <row r="40" spans="1:12" x14ac:dyDescent="0.25">
      <c r="A40" s="94">
        <f t="shared" si="0"/>
        <v>30</v>
      </c>
      <c r="B40" s="565" t="s">
        <v>2402</v>
      </c>
      <c r="C40" s="940">
        <v>0</v>
      </c>
      <c r="D40" s="932">
        <v>0</v>
      </c>
      <c r="E40" s="932">
        <v>0</v>
      </c>
      <c r="F40" s="934" t="s">
        <v>1388</v>
      </c>
      <c r="G40" s="940">
        <v>0</v>
      </c>
      <c r="H40" s="932">
        <v>0</v>
      </c>
      <c r="I40" s="932">
        <v>0</v>
      </c>
      <c r="J40" s="940">
        <v>0</v>
      </c>
      <c r="K40" s="940">
        <v>0</v>
      </c>
      <c r="L40" s="940">
        <v>0</v>
      </c>
    </row>
    <row r="41" spans="1:12" ht="15" x14ac:dyDescent="0.4">
      <c r="A41" s="94">
        <f t="shared" si="0"/>
        <v>31</v>
      </c>
      <c r="B41" s="503" t="s">
        <v>510</v>
      </c>
      <c r="C41" s="813" t="s">
        <v>77</v>
      </c>
      <c r="D41" s="813" t="s">
        <v>77</v>
      </c>
      <c r="E41" s="813" t="s">
        <v>77</v>
      </c>
      <c r="F41" s="813" t="s">
        <v>77</v>
      </c>
      <c r="G41" s="813" t="s">
        <v>77</v>
      </c>
      <c r="H41" s="813" t="s">
        <v>77</v>
      </c>
      <c r="I41" s="813" t="s">
        <v>77</v>
      </c>
      <c r="J41" s="404"/>
      <c r="K41" s="404"/>
      <c r="L41" s="404"/>
    </row>
    <row r="42" spans="1:12" x14ac:dyDescent="0.25">
      <c r="A42" s="94">
        <f t="shared" si="0"/>
        <v>32</v>
      </c>
      <c r="B42" s="565" t="s">
        <v>2027</v>
      </c>
      <c r="C42" s="814">
        <v>0</v>
      </c>
      <c r="D42" s="814">
        <v>0</v>
      </c>
      <c r="E42" s="814">
        <v>0</v>
      </c>
      <c r="F42" s="822"/>
      <c r="G42" s="944">
        <v>0</v>
      </c>
      <c r="H42" s="944">
        <v>0</v>
      </c>
      <c r="I42" s="944">
        <v>0</v>
      </c>
      <c r="J42" s="944">
        <v>0</v>
      </c>
      <c r="K42" s="944">
        <v>0</v>
      </c>
      <c r="L42" s="944">
        <v>0</v>
      </c>
    </row>
    <row r="43" spans="1:12" x14ac:dyDescent="0.25">
      <c r="A43" s="94">
        <f t="shared" si="0"/>
        <v>33</v>
      </c>
      <c r="B43" s="405" t="s">
        <v>1302</v>
      </c>
      <c r="C43" s="940">
        <v>0</v>
      </c>
      <c r="D43" s="940">
        <v>0</v>
      </c>
      <c r="E43" s="940">
        <v>0</v>
      </c>
      <c r="F43" s="940">
        <v>0</v>
      </c>
      <c r="G43" s="940">
        <v>0</v>
      </c>
      <c r="H43" s="940">
        <v>0</v>
      </c>
      <c r="I43" s="940">
        <v>0</v>
      </c>
      <c r="J43" s="940">
        <v>0</v>
      </c>
      <c r="K43" s="940">
        <v>0</v>
      </c>
      <c r="L43" s="940">
        <v>0</v>
      </c>
    </row>
    <row r="44" spans="1:12" x14ac:dyDescent="0.25">
      <c r="A44" s="94">
        <f t="shared" si="0"/>
        <v>34</v>
      </c>
      <c r="B44" s="484"/>
      <c r="C44" s="815"/>
      <c r="D44" s="816"/>
      <c r="E44" s="816"/>
      <c r="F44" s="817"/>
      <c r="G44" s="818"/>
      <c r="H44" s="819"/>
      <c r="I44" s="819"/>
      <c r="J44" s="566"/>
      <c r="K44" s="566"/>
      <c r="L44" s="566"/>
    </row>
    <row r="45" spans="1:12" x14ac:dyDescent="0.25">
      <c r="A45" s="547"/>
      <c r="B45" s="406"/>
      <c r="C45" s="816"/>
      <c r="D45" s="816"/>
      <c r="E45" s="816"/>
      <c r="F45" s="817"/>
      <c r="G45" s="820"/>
      <c r="H45" s="816"/>
      <c r="I45" s="816"/>
      <c r="J45" s="816"/>
      <c r="K45" s="816"/>
      <c r="L45" s="816"/>
    </row>
    <row r="46" spans="1:12" x14ac:dyDescent="0.25">
      <c r="A46" s="547"/>
      <c r="B46" s="394" t="s">
        <v>363</v>
      </c>
      <c r="C46" s="394" t="s">
        <v>347</v>
      </c>
      <c r="D46" s="394" t="s">
        <v>348</v>
      </c>
      <c r="E46" s="394" t="s">
        <v>349</v>
      </c>
      <c r="F46" s="395" t="s">
        <v>350</v>
      </c>
      <c r="G46" s="394" t="s">
        <v>351</v>
      </c>
      <c r="H46" s="394" t="s">
        <v>352</v>
      </c>
      <c r="I46" s="394" t="s">
        <v>541</v>
      </c>
      <c r="J46" s="394" t="s">
        <v>955</v>
      </c>
      <c r="K46" s="394" t="s">
        <v>967</v>
      </c>
      <c r="L46" s="394" t="s">
        <v>970</v>
      </c>
    </row>
    <row r="47" spans="1:12" x14ac:dyDescent="0.25">
      <c r="A47" s="547"/>
      <c r="B47" s="406"/>
      <c r="C47" s="538" t="s">
        <v>1273</v>
      </c>
      <c r="D47" s="392"/>
      <c r="E47" s="392"/>
      <c r="F47" s="804" t="s">
        <v>365</v>
      </c>
      <c r="G47" s="538" t="s">
        <v>1274</v>
      </c>
      <c r="H47" s="396"/>
      <c r="I47" s="396"/>
      <c r="J47" s="538" t="s">
        <v>1275</v>
      </c>
      <c r="K47" s="538" t="s">
        <v>1276</v>
      </c>
      <c r="L47" s="539" t="s">
        <v>1277</v>
      </c>
    </row>
    <row r="48" spans="1:12" x14ac:dyDescent="0.25">
      <c r="A48" s="547"/>
      <c r="C48" s="815"/>
      <c r="D48" s="816"/>
      <c r="E48" s="816"/>
      <c r="F48" s="817"/>
      <c r="G48" s="818"/>
      <c r="H48" s="816"/>
      <c r="I48" s="816"/>
      <c r="J48" s="566"/>
      <c r="K48" s="566"/>
      <c r="L48" s="566"/>
    </row>
    <row r="49" spans="1:12" x14ac:dyDescent="0.25">
      <c r="A49" s="547"/>
      <c r="B49" s="1179" t="s">
        <v>1278</v>
      </c>
      <c r="C49" s="1181" t="s">
        <v>1279</v>
      </c>
      <c r="D49" s="1181"/>
      <c r="E49" s="1181"/>
      <c r="F49" s="398"/>
      <c r="G49" s="1182" t="s">
        <v>1280</v>
      </c>
      <c r="H49" s="1182"/>
      <c r="I49" s="1183"/>
      <c r="J49" s="1185" t="s">
        <v>1281</v>
      </c>
      <c r="K49" s="1182"/>
      <c r="L49" s="1183"/>
    </row>
    <row r="50" spans="1:12" x14ac:dyDescent="0.25">
      <c r="A50" s="547"/>
      <c r="B50" s="1180"/>
      <c r="C50" s="803" t="s">
        <v>197</v>
      </c>
      <c r="D50" s="803" t="s">
        <v>1282</v>
      </c>
      <c r="E50" s="399" t="s">
        <v>1283</v>
      </c>
      <c r="F50" s="400" t="s">
        <v>1225</v>
      </c>
      <c r="G50" s="399" t="s">
        <v>197</v>
      </c>
      <c r="H50" s="399" t="s">
        <v>1282</v>
      </c>
      <c r="I50" s="399" t="s">
        <v>1283</v>
      </c>
      <c r="J50" s="803" t="s">
        <v>197</v>
      </c>
      <c r="K50" s="399" t="s">
        <v>1282</v>
      </c>
      <c r="L50" s="399" t="s">
        <v>1283</v>
      </c>
    </row>
    <row r="51" spans="1:12" x14ac:dyDescent="0.25">
      <c r="A51" s="547"/>
      <c r="B51" s="407" t="s">
        <v>1303</v>
      </c>
      <c r="C51" s="222"/>
      <c r="D51" s="222"/>
      <c r="E51" s="402"/>
      <c r="F51" s="403"/>
      <c r="G51" s="402"/>
      <c r="H51" s="402"/>
      <c r="I51" s="402"/>
      <c r="J51" s="222"/>
      <c r="K51" s="402"/>
      <c r="L51" s="402"/>
    </row>
    <row r="52" spans="1:12" x14ac:dyDescent="0.25">
      <c r="A52" s="94">
        <f>A44+1</f>
        <v>35</v>
      </c>
      <c r="B52" s="565" t="s">
        <v>2403</v>
      </c>
      <c r="C52" s="940">
        <v>0</v>
      </c>
      <c r="D52" s="932">
        <v>0</v>
      </c>
      <c r="E52" s="932">
        <v>0</v>
      </c>
      <c r="F52" s="934" t="s">
        <v>1388</v>
      </c>
      <c r="G52" s="940">
        <v>0</v>
      </c>
      <c r="H52" s="932">
        <v>0</v>
      </c>
      <c r="I52" s="932">
        <v>0</v>
      </c>
      <c r="J52" s="940">
        <v>0</v>
      </c>
      <c r="K52" s="940">
        <v>0</v>
      </c>
      <c r="L52" s="940">
        <v>0</v>
      </c>
    </row>
    <row r="53" spans="1:12" x14ac:dyDescent="0.25">
      <c r="A53" s="94">
        <f t="shared" ref="A53" si="1">A52+1</f>
        <v>36</v>
      </c>
      <c r="B53" s="565" t="s">
        <v>1304</v>
      </c>
      <c r="C53" s="940">
        <v>0</v>
      </c>
      <c r="D53" s="932">
        <v>0</v>
      </c>
      <c r="E53" s="932">
        <v>0</v>
      </c>
      <c r="F53" s="934" t="s">
        <v>1388</v>
      </c>
      <c r="G53" s="940">
        <v>0</v>
      </c>
      <c r="H53" s="932">
        <v>0</v>
      </c>
      <c r="I53" s="932">
        <v>0</v>
      </c>
      <c r="J53" s="940">
        <v>0</v>
      </c>
      <c r="K53" s="940">
        <v>0</v>
      </c>
      <c r="L53" s="940">
        <v>0</v>
      </c>
    </row>
    <row r="54" spans="1:12" x14ac:dyDescent="0.25">
      <c r="A54" s="94">
        <f t="shared" ref="A54:A62" si="2">A53+1</f>
        <v>37</v>
      </c>
      <c r="B54" s="565" t="s">
        <v>1305</v>
      </c>
      <c r="C54" s="940">
        <v>0</v>
      </c>
      <c r="D54" s="932">
        <v>0</v>
      </c>
      <c r="E54" s="932">
        <v>0</v>
      </c>
      <c r="F54" s="934" t="s">
        <v>1388</v>
      </c>
      <c r="G54" s="940">
        <v>0</v>
      </c>
      <c r="H54" s="932">
        <v>0</v>
      </c>
      <c r="I54" s="932">
        <v>0</v>
      </c>
      <c r="J54" s="940">
        <v>0</v>
      </c>
      <c r="K54" s="940">
        <v>0</v>
      </c>
      <c r="L54" s="940">
        <v>0</v>
      </c>
    </row>
    <row r="55" spans="1:12" x14ac:dyDescent="0.25">
      <c r="A55" s="94">
        <f t="shared" si="2"/>
        <v>38</v>
      </c>
      <c r="B55" s="565" t="s">
        <v>2404</v>
      </c>
      <c r="C55" s="940">
        <v>0</v>
      </c>
      <c r="D55" s="932">
        <v>0</v>
      </c>
      <c r="E55" s="932">
        <v>0</v>
      </c>
      <c r="F55" s="934" t="s">
        <v>1388</v>
      </c>
      <c r="G55" s="940">
        <v>0</v>
      </c>
      <c r="H55" s="932">
        <v>0</v>
      </c>
      <c r="I55" s="932">
        <v>0</v>
      </c>
      <c r="J55" s="940">
        <v>0</v>
      </c>
      <c r="K55" s="940">
        <v>0</v>
      </c>
      <c r="L55" s="940">
        <v>0</v>
      </c>
    </row>
    <row r="56" spans="1:12" x14ac:dyDescent="0.25">
      <c r="A56" s="94">
        <f t="shared" si="2"/>
        <v>39</v>
      </c>
      <c r="B56" s="565" t="s">
        <v>1306</v>
      </c>
      <c r="C56" s="940">
        <v>0</v>
      </c>
      <c r="D56" s="932">
        <v>0</v>
      </c>
      <c r="E56" s="932">
        <v>0</v>
      </c>
      <c r="F56" s="934" t="s">
        <v>1388</v>
      </c>
      <c r="G56" s="940">
        <v>0</v>
      </c>
      <c r="H56" s="932">
        <v>0</v>
      </c>
      <c r="I56" s="932">
        <v>0</v>
      </c>
      <c r="J56" s="940">
        <v>0</v>
      </c>
      <c r="K56" s="940">
        <v>0</v>
      </c>
      <c r="L56" s="940">
        <v>0</v>
      </c>
    </row>
    <row r="57" spans="1:12" x14ac:dyDescent="0.25">
      <c r="A57" s="94">
        <f>A56+1</f>
        <v>40</v>
      </c>
      <c r="B57" s="565" t="s">
        <v>2028</v>
      </c>
      <c r="C57" s="814">
        <v>0</v>
      </c>
      <c r="D57" s="814">
        <v>0</v>
      </c>
      <c r="E57" s="814">
        <v>0</v>
      </c>
      <c r="F57" s="822"/>
      <c r="G57" s="944">
        <v>0</v>
      </c>
      <c r="H57" s="944">
        <v>0</v>
      </c>
      <c r="I57" s="944">
        <v>0</v>
      </c>
      <c r="J57" s="944">
        <v>0</v>
      </c>
      <c r="K57" s="944">
        <v>0</v>
      </c>
      <c r="L57" s="944">
        <v>0</v>
      </c>
    </row>
    <row r="58" spans="1:12" x14ac:dyDescent="0.25">
      <c r="A58" s="94">
        <f t="shared" si="2"/>
        <v>41</v>
      </c>
      <c r="B58" s="406" t="s">
        <v>1307</v>
      </c>
      <c r="C58" s="940">
        <v>0</v>
      </c>
      <c r="D58" s="940">
        <v>0</v>
      </c>
      <c r="E58" s="940">
        <v>0</v>
      </c>
      <c r="F58" s="817"/>
      <c r="G58" s="940">
        <v>0</v>
      </c>
      <c r="H58" s="940">
        <v>0</v>
      </c>
      <c r="I58" s="940">
        <v>0</v>
      </c>
      <c r="J58" s="940">
        <v>0</v>
      </c>
      <c r="K58" s="940">
        <v>0</v>
      </c>
      <c r="L58" s="940">
        <v>0</v>
      </c>
    </row>
    <row r="59" spans="1:12" x14ac:dyDescent="0.25">
      <c r="A59" s="94">
        <f t="shared" si="2"/>
        <v>42</v>
      </c>
      <c r="B59" s="815"/>
      <c r="C59" s="821"/>
      <c r="D59" s="816"/>
      <c r="E59" s="816"/>
      <c r="F59" s="823"/>
      <c r="G59" s="818"/>
      <c r="H59" s="819"/>
      <c r="I59" s="819"/>
      <c r="J59" s="566"/>
      <c r="K59" s="566"/>
      <c r="L59" s="566"/>
    </row>
    <row r="60" spans="1:12" x14ac:dyDescent="0.25">
      <c r="A60" s="94">
        <f t="shared" si="2"/>
        <v>43</v>
      </c>
      <c r="B60" s="406" t="s">
        <v>1308</v>
      </c>
      <c r="C60" s="940">
        <v>0</v>
      </c>
      <c r="D60" s="940">
        <v>0</v>
      </c>
      <c r="E60" s="940">
        <v>0</v>
      </c>
      <c r="F60" s="824"/>
      <c r="G60" s="940">
        <v>0</v>
      </c>
      <c r="H60" s="940">
        <v>0</v>
      </c>
      <c r="I60" s="940">
        <v>0</v>
      </c>
      <c r="J60" s="940">
        <v>0</v>
      </c>
      <c r="K60" s="940">
        <v>0</v>
      </c>
      <c r="L60" s="940">
        <v>0</v>
      </c>
    </row>
    <row r="61" spans="1:12" x14ac:dyDescent="0.25">
      <c r="A61" s="94">
        <f t="shared" si="2"/>
        <v>44</v>
      </c>
      <c r="B61" s="815"/>
      <c r="C61" s="815"/>
      <c r="D61" s="815"/>
      <c r="E61" s="815"/>
      <c r="F61" s="824"/>
      <c r="G61" s="825"/>
      <c r="H61" s="819"/>
      <c r="I61" s="819"/>
      <c r="J61" s="484"/>
      <c r="K61" s="484"/>
      <c r="L61" s="484"/>
    </row>
    <row r="62" spans="1:12" x14ac:dyDescent="0.25">
      <c r="A62" s="94">
        <f t="shared" si="2"/>
        <v>45</v>
      </c>
      <c r="B62" s="565" t="s">
        <v>1309</v>
      </c>
      <c r="C62" s="932">
        <v>0</v>
      </c>
      <c r="D62" s="826" t="s">
        <v>1310</v>
      </c>
      <c r="E62" s="821" t="str">
        <f>"Must equal Line "&amp;A43&amp;", Column 2."</f>
        <v>Must equal Line 33, Column 2.</v>
      </c>
      <c r="F62" s="824"/>
      <c r="G62" s="408"/>
      <c r="H62" s="409"/>
      <c r="I62" s="409"/>
      <c r="J62" s="409"/>
      <c r="K62" s="409"/>
      <c r="L62" s="409"/>
    </row>
    <row r="63" spans="1:12" ht="15" x14ac:dyDescent="0.4">
      <c r="A63" s="94">
        <f>A62+1</f>
        <v>46</v>
      </c>
      <c r="B63" s="565" t="s">
        <v>1311</v>
      </c>
      <c r="C63" s="933">
        <v>0</v>
      </c>
      <c r="D63" s="826" t="s">
        <v>2412</v>
      </c>
      <c r="E63" s="821" t="str">
        <f>"Must equal Line "&amp;A58&amp;", Column 2."</f>
        <v>Must equal Line 41, Column 2.</v>
      </c>
      <c r="F63" s="824"/>
      <c r="G63" s="818"/>
      <c r="H63" s="566"/>
      <c r="I63" s="566"/>
      <c r="J63" s="566"/>
      <c r="K63" s="566"/>
      <c r="L63" s="566"/>
    </row>
    <row r="64" spans="1:12" x14ac:dyDescent="0.25">
      <c r="A64" s="94">
        <f>A63+1</f>
        <v>47</v>
      </c>
      <c r="B64" s="565" t="s">
        <v>2029</v>
      </c>
      <c r="C64" s="940">
        <v>0</v>
      </c>
      <c r="D64" s="826" t="str">
        <f>"20-AandG, Note 2, "&amp;'20-AandG'!B62&amp;""</f>
        <v>20-AandG, Note 2, f</v>
      </c>
      <c r="E64" s="821"/>
      <c r="F64" s="547"/>
      <c r="G64" s="818"/>
      <c r="H64" s="566"/>
      <c r="I64" s="566"/>
      <c r="J64" s="566"/>
      <c r="K64" s="566"/>
      <c r="L64" s="566"/>
    </row>
    <row r="65" spans="1:12" x14ac:dyDescent="0.25">
      <c r="A65" s="410"/>
      <c r="C65" s="411"/>
      <c r="D65" s="821"/>
      <c r="E65" s="821"/>
      <c r="F65" s="824"/>
      <c r="G65" s="818"/>
      <c r="H65" s="566"/>
      <c r="I65" s="566"/>
      <c r="J65" s="566"/>
      <c r="K65" s="566"/>
      <c r="L65" s="566"/>
    </row>
    <row r="66" spans="1:12" x14ac:dyDescent="0.25">
      <c r="A66" s="484"/>
      <c r="B66" s="383" t="s">
        <v>1384</v>
      </c>
      <c r="C66" s="815"/>
      <c r="D66" s="815"/>
      <c r="E66" s="815"/>
      <c r="F66" s="824"/>
      <c r="G66" s="825"/>
      <c r="H66" s="484"/>
      <c r="I66" s="484"/>
      <c r="J66" s="484"/>
      <c r="K66" s="484"/>
      <c r="L66" s="484"/>
    </row>
    <row r="67" spans="1:12" x14ac:dyDescent="0.25">
      <c r="A67" s="484"/>
      <c r="C67" s="815"/>
      <c r="D67" s="815"/>
      <c r="E67" s="815"/>
      <c r="F67" s="824"/>
      <c r="G67" s="825"/>
      <c r="H67" s="484"/>
      <c r="I67" s="484"/>
      <c r="J67" s="484"/>
      <c r="K67" s="484"/>
      <c r="L67" s="484"/>
    </row>
    <row r="68" spans="1:12" x14ac:dyDescent="0.25">
      <c r="A68" s="484"/>
      <c r="B68" s="76" t="s">
        <v>363</v>
      </c>
      <c r="C68" s="394" t="s">
        <v>347</v>
      </c>
      <c r="D68" s="394" t="s">
        <v>348</v>
      </c>
      <c r="E68" s="394" t="s">
        <v>349</v>
      </c>
      <c r="F68" s="395" t="s">
        <v>350</v>
      </c>
      <c r="G68" s="394" t="s">
        <v>351</v>
      </c>
      <c r="H68" s="394" t="s">
        <v>352</v>
      </c>
      <c r="I68" s="394" t="s">
        <v>541</v>
      </c>
      <c r="J68" s="903" t="s">
        <v>955</v>
      </c>
      <c r="K68" s="318"/>
      <c r="L68" s="76"/>
    </row>
    <row r="69" spans="1:12" x14ac:dyDescent="0.25">
      <c r="A69" s="484"/>
      <c r="C69" s="815" t="s">
        <v>1312</v>
      </c>
      <c r="D69" s="815" t="s">
        <v>1313</v>
      </c>
      <c r="E69" s="815" t="s">
        <v>1314</v>
      </c>
      <c r="F69" s="825" t="s">
        <v>1185</v>
      </c>
      <c r="G69" s="539" t="s">
        <v>1274</v>
      </c>
      <c r="H69" s="540" t="s">
        <v>1678</v>
      </c>
      <c r="I69" s="540" t="s">
        <v>1679</v>
      </c>
      <c r="J69" s="454"/>
      <c r="K69" s="815"/>
      <c r="L69" s="484"/>
    </row>
    <row r="70" spans="1:12" x14ac:dyDescent="0.25">
      <c r="C70" s="815"/>
      <c r="D70" s="815"/>
      <c r="E70" s="815"/>
      <c r="F70" s="824"/>
      <c r="G70" s="825"/>
      <c r="H70" s="484"/>
      <c r="I70" s="484"/>
      <c r="J70" s="815"/>
      <c r="K70" s="815"/>
      <c r="L70" s="484"/>
    </row>
    <row r="71" spans="1:12" x14ac:dyDescent="0.25">
      <c r="A71" s="397"/>
      <c r="B71" s="1184" t="s">
        <v>1278</v>
      </c>
      <c r="C71" s="1185" t="s">
        <v>1281</v>
      </c>
      <c r="D71" s="1182"/>
      <c r="E71" s="1183"/>
      <c r="F71" s="412" t="s">
        <v>1443</v>
      </c>
      <c r="G71" s="1176" t="s">
        <v>1315</v>
      </c>
      <c r="H71" s="1177"/>
      <c r="I71" s="1178"/>
      <c r="J71" s="904" t="s">
        <v>1744</v>
      </c>
      <c r="K71" s="815"/>
    </row>
    <row r="72" spans="1:12" x14ac:dyDescent="0.25">
      <c r="B72" s="1184"/>
      <c r="C72" s="803" t="s">
        <v>197</v>
      </c>
      <c r="D72" s="399" t="s">
        <v>1282</v>
      </c>
      <c r="E72" s="399" t="s">
        <v>1283</v>
      </c>
      <c r="F72" s="412" t="s">
        <v>434</v>
      </c>
      <c r="G72" s="803" t="s">
        <v>197</v>
      </c>
      <c r="H72" s="399" t="s">
        <v>1282</v>
      </c>
      <c r="I72" s="399" t="s">
        <v>1283</v>
      </c>
      <c r="J72" s="846" t="s">
        <v>206</v>
      </c>
      <c r="K72" s="815"/>
      <c r="L72" s="484"/>
    </row>
    <row r="73" spans="1:12" x14ac:dyDescent="0.25">
      <c r="A73" s="44" t="s">
        <v>332</v>
      </c>
      <c r="B73" s="401" t="s">
        <v>1284</v>
      </c>
      <c r="C73" s="222"/>
      <c r="D73" s="402"/>
      <c r="E73" s="402"/>
      <c r="F73" s="413"/>
      <c r="G73" s="222"/>
      <c r="H73" s="402"/>
      <c r="I73" s="402"/>
      <c r="J73" s="454"/>
      <c r="K73" s="815"/>
      <c r="L73" s="484"/>
    </row>
    <row r="74" spans="1:12" x14ac:dyDescent="0.25">
      <c r="A74" s="94">
        <f>A64+1</f>
        <v>48</v>
      </c>
      <c r="B74" s="459" t="s">
        <v>2392</v>
      </c>
      <c r="C74" s="940">
        <v>0</v>
      </c>
      <c r="D74" s="940">
        <v>0</v>
      </c>
      <c r="E74" s="940">
        <v>0</v>
      </c>
      <c r="F74" s="926" t="s">
        <v>2193</v>
      </c>
      <c r="G74" s="940">
        <v>0</v>
      </c>
      <c r="H74" s="940">
        <v>0</v>
      </c>
      <c r="I74" s="940">
        <v>0</v>
      </c>
      <c r="J74" s="454" t="s">
        <v>2405</v>
      </c>
      <c r="K74" s="815"/>
      <c r="L74" s="484"/>
    </row>
    <row r="75" spans="1:12" x14ac:dyDescent="0.25">
      <c r="A75" s="94">
        <f t="shared" ref="A75:A107" si="3">A74+1</f>
        <v>49</v>
      </c>
      <c r="B75" s="459" t="s">
        <v>1285</v>
      </c>
      <c r="C75" s="940">
        <v>0</v>
      </c>
      <c r="D75" s="940">
        <v>0</v>
      </c>
      <c r="E75" s="940">
        <v>0</v>
      </c>
      <c r="F75" s="947">
        <v>1</v>
      </c>
      <c r="G75" s="940">
        <v>0</v>
      </c>
      <c r="H75" s="940">
        <v>0</v>
      </c>
      <c r="I75" s="940">
        <v>0</v>
      </c>
      <c r="J75" s="877" t="s">
        <v>2491</v>
      </c>
      <c r="K75" s="484"/>
      <c r="L75" s="484"/>
    </row>
    <row r="76" spans="1:12" x14ac:dyDescent="0.25">
      <c r="A76" s="94">
        <f t="shared" si="3"/>
        <v>50</v>
      </c>
      <c r="B76" s="565" t="s">
        <v>2410</v>
      </c>
      <c r="C76" s="940">
        <v>0</v>
      </c>
      <c r="D76" s="940">
        <v>0</v>
      </c>
      <c r="E76" s="940">
        <v>0</v>
      </c>
      <c r="F76" s="926" t="s">
        <v>2193</v>
      </c>
      <c r="G76" s="940">
        <v>0</v>
      </c>
      <c r="H76" s="940">
        <v>0</v>
      </c>
      <c r="I76" s="940">
        <v>0</v>
      </c>
      <c r="J76" s="454" t="s">
        <v>2405</v>
      </c>
      <c r="K76" s="815"/>
      <c r="L76" s="484"/>
    </row>
    <row r="77" spans="1:12" x14ac:dyDescent="0.25">
      <c r="A77" s="94">
        <f t="shared" si="3"/>
        <v>51</v>
      </c>
      <c r="B77" s="565" t="s">
        <v>1286</v>
      </c>
      <c r="C77" s="940">
        <v>0</v>
      </c>
      <c r="D77" s="940">
        <v>0</v>
      </c>
      <c r="E77" s="940">
        <v>0</v>
      </c>
      <c r="F77" s="947">
        <v>0</v>
      </c>
      <c r="G77" s="940">
        <v>0</v>
      </c>
      <c r="H77" s="940">
        <v>0</v>
      </c>
      <c r="I77" s="940">
        <v>0</v>
      </c>
      <c r="J77" s="877" t="s">
        <v>2492</v>
      </c>
      <c r="K77" s="815"/>
      <c r="L77" s="484"/>
    </row>
    <row r="78" spans="1:12" x14ac:dyDescent="0.25">
      <c r="A78" s="94">
        <f t="shared" si="3"/>
        <v>52</v>
      </c>
      <c r="B78" s="565" t="s">
        <v>2411</v>
      </c>
      <c r="C78" s="940">
        <v>0</v>
      </c>
      <c r="D78" s="940">
        <v>0</v>
      </c>
      <c r="E78" s="940">
        <v>0</v>
      </c>
      <c r="F78" s="947">
        <v>1</v>
      </c>
      <c r="G78" s="940">
        <v>0</v>
      </c>
      <c r="H78" s="940">
        <v>0</v>
      </c>
      <c r="I78" s="940">
        <v>0</v>
      </c>
      <c r="J78" s="877" t="s">
        <v>2491</v>
      </c>
      <c r="K78" s="815"/>
      <c r="L78" s="484"/>
    </row>
    <row r="79" spans="1:12" x14ac:dyDescent="0.25">
      <c r="A79" s="94">
        <f t="shared" si="3"/>
        <v>53</v>
      </c>
      <c r="B79" s="565" t="s">
        <v>2391</v>
      </c>
      <c r="C79" s="940">
        <v>0</v>
      </c>
      <c r="D79" s="940">
        <v>0</v>
      </c>
      <c r="E79" s="940">
        <v>0</v>
      </c>
      <c r="F79" s="926" t="s">
        <v>2193</v>
      </c>
      <c r="G79" s="940">
        <v>0</v>
      </c>
      <c r="H79" s="940">
        <v>0</v>
      </c>
      <c r="I79" s="940">
        <v>0</v>
      </c>
      <c r="J79" s="454" t="s">
        <v>2405</v>
      </c>
      <c r="K79" s="815"/>
      <c r="L79" s="484"/>
    </row>
    <row r="80" spans="1:12" x14ac:dyDescent="0.25">
      <c r="A80" s="94">
        <f t="shared" si="3"/>
        <v>54</v>
      </c>
      <c r="B80" s="565" t="s">
        <v>1287</v>
      </c>
      <c r="C80" s="940">
        <v>0</v>
      </c>
      <c r="D80" s="940">
        <v>0</v>
      </c>
      <c r="E80" s="940">
        <v>0</v>
      </c>
      <c r="F80" s="947">
        <v>0</v>
      </c>
      <c r="G80" s="940">
        <v>0</v>
      </c>
      <c r="H80" s="940">
        <v>0</v>
      </c>
      <c r="I80" s="940">
        <v>0</v>
      </c>
      <c r="J80" s="877" t="s">
        <v>2492</v>
      </c>
      <c r="K80" s="815"/>
      <c r="L80" s="484"/>
    </row>
    <row r="81" spans="1:12" x14ac:dyDescent="0.25">
      <c r="A81" s="94">
        <f t="shared" si="3"/>
        <v>55</v>
      </c>
      <c r="B81" s="565" t="s">
        <v>1288</v>
      </c>
      <c r="C81" s="940">
        <v>0</v>
      </c>
      <c r="D81" s="940">
        <v>0</v>
      </c>
      <c r="E81" s="940">
        <v>0</v>
      </c>
      <c r="F81" s="947">
        <v>1</v>
      </c>
      <c r="G81" s="940">
        <v>0</v>
      </c>
      <c r="H81" s="940">
        <v>0</v>
      </c>
      <c r="I81" s="940">
        <v>0</v>
      </c>
      <c r="J81" s="877" t="s">
        <v>2491</v>
      </c>
      <c r="K81" s="821"/>
      <c r="L81" s="566"/>
    </row>
    <row r="82" spans="1:12" x14ac:dyDescent="0.25">
      <c r="A82" s="94">
        <f t="shared" si="3"/>
        <v>56</v>
      </c>
      <c r="B82" s="565" t="s">
        <v>2393</v>
      </c>
      <c r="C82" s="940">
        <v>0</v>
      </c>
      <c r="D82" s="940">
        <v>0</v>
      </c>
      <c r="E82" s="940">
        <v>0</v>
      </c>
      <c r="F82" s="926" t="s">
        <v>2193</v>
      </c>
      <c r="G82" s="940">
        <v>0</v>
      </c>
      <c r="H82" s="940">
        <v>0</v>
      </c>
      <c r="I82" s="940">
        <v>0</v>
      </c>
      <c r="J82" s="454" t="s">
        <v>2406</v>
      </c>
      <c r="K82" s="815"/>
      <c r="L82" s="484"/>
    </row>
    <row r="83" spans="1:12" ht="12.75" customHeight="1" x14ac:dyDescent="0.25">
      <c r="A83" s="94">
        <f t="shared" si="3"/>
        <v>57</v>
      </c>
      <c r="B83" s="565" t="s">
        <v>2394</v>
      </c>
      <c r="C83" s="940">
        <v>0</v>
      </c>
      <c r="D83" s="940">
        <v>0</v>
      </c>
      <c r="E83" s="940">
        <v>0</v>
      </c>
      <c r="F83" s="926" t="s">
        <v>2193</v>
      </c>
      <c r="G83" s="940">
        <v>0</v>
      </c>
      <c r="H83" s="940">
        <v>0</v>
      </c>
      <c r="I83" s="940">
        <v>0</v>
      </c>
      <c r="J83" s="454" t="s">
        <v>2407</v>
      </c>
      <c r="K83" s="821"/>
      <c r="L83" s="484"/>
    </row>
    <row r="84" spans="1:12" x14ac:dyDescent="0.25">
      <c r="A84" s="94">
        <f t="shared" si="3"/>
        <v>58</v>
      </c>
      <c r="B84" s="565" t="s">
        <v>2395</v>
      </c>
      <c r="C84" s="940">
        <v>0</v>
      </c>
      <c r="D84" s="940">
        <v>0</v>
      </c>
      <c r="E84" s="940">
        <v>0</v>
      </c>
      <c r="F84" s="947">
        <v>1</v>
      </c>
      <c r="G84" s="940">
        <v>0</v>
      </c>
      <c r="H84" s="940">
        <v>0</v>
      </c>
      <c r="I84" s="940">
        <v>0</v>
      </c>
      <c r="J84" s="877" t="s">
        <v>2491</v>
      </c>
      <c r="K84" s="815"/>
      <c r="L84" s="484"/>
    </row>
    <row r="85" spans="1:12" x14ac:dyDescent="0.25">
      <c r="A85" s="94">
        <f t="shared" si="3"/>
        <v>59</v>
      </c>
      <c r="B85" s="565" t="s">
        <v>1290</v>
      </c>
      <c r="C85" s="940">
        <v>0</v>
      </c>
      <c r="D85" s="940">
        <v>0</v>
      </c>
      <c r="E85" s="940">
        <v>0</v>
      </c>
      <c r="F85" s="947">
        <v>0</v>
      </c>
      <c r="G85" s="940">
        <v>0</v>
      </c>
      <c r="H85" s="940">
        <v>0</v>
      </c>
      <c r="I85" s="940">
        <v>0</v>
      </c>
      <c r="J85" s="877" t="s">
        <v>2492</v>
      </c>
      <c r="K85" s="815"/>
      <c r="L85" s="484"/>
    </row>
    <row r="86" spans="1:12" x14ac:dyDescent="0.25">
      <c r="A86" s="94">
        <f t="shared" si="3"/>
        <v>60</v>
      </c>
      <c r="B86" s="565" t="s">
        <v>1291</v>
      </c>
      <c r="C86" s="940">
        <v>0</v>
      </c>
      <c r="D86" s="940">
        <v>0</v>
      </c>
      <c r="E86" s="940">
        <v>0</v>
      </c>
      <c r="F86" s="947">
        <v>0</v>
      </c>
      <c r="G86" s="940">
        <v>0</v>
      </c>
      <c r="H86" s="940">
        <v>0</v>
      </c>
      <c r="I86" s="940">
        <v>0</v>
      </c>
      <c r="J86" s="877" t="s">
        <v>2492</v>
      </c>
      <c r="K86" s="815"/>
      <c r="L86" s="484"/>
    </row>
    <row r="87" spans="1:12" x14ac:dyDescent="0.25">
      <c r="A87" s="94">
        <f t="shared" si="3"/>
        <v>61</v>
      </c>
      <c r="B87" s="565" t="s">
        <v>2396</v>
      </c>
      <c r="C87" s="940">
        <v>0</v>
      </c>
      <c r="D87" s="940">
        <v>0</v>
      </c>
      <c r="E87" s="940">
        <v>0</v>
      </c>
      <c r="F87" s="926" t="s">
        <v>2193</v>
      </c>
      <c r="G87" s="940">
        <v>0</v>
      </c>
      <c r="H87" s="940">
        <v>0</v>
      </c>
      <c r="I87" s="940">
        <v>0</v>
      </c>
      <c r="J87" s="454" t="s">
        <v>2405</v>
      </c>
      <c r="K87" s="821"/>
      <c r="L87" s="566"/>
    </row>
    <row r="88" spans="1:12" x14ac:dyDescent="0.25">
      <c r="A88" s="94">
        <f t="shared" si="3"/>
        <v>62</v>
      </c>
      <c r="B88" s="565" t="s">
        <v>1292</v>
      </c>
      <c r="C88" s="940">
        <v>0</v>
      </c>
      <c r="D88" s="940">
        <v>0</v>
      </c>
      <c r="E88" s="940">
        <v>0</v>
      </c>
      <c r="F88" s="947">
        <v>0</v>
      </c>
      <c r="G88" s="940">
        <v>0</v>
      </c>
      <c r="H88" s="940">
        <v>0</v>
      </c>
      <c r="I88" s="940">
        <v>0</v>
      </c>
      <c r="J88" s="877" t="s">
        <v>2492</v>
      </c>
      <c r="K88" s="815"/>
      <c r="L88" s="484"/>
    </row>
    <row r="89" spans="1:12" x14ac:dyDescent="0.25">
      <c r="A89" s="94">
        <f t="shared" si="3"/>
        <v>63</v>
      </c>
      <c r="B89" s="565" t="s">
        <v>1293</v>
      </c>
      <c r="C89" s="940">
        <v>0</v>
      </c>
      <c r="D89" s="940">
        <v>0</v>
      </c>
      <c r="E89" s="940">
        <v>0</v>
      </c>
      <c r="F89" s="947">
        <v>1</v>
      </c>
      <c r="G89" s="940">
        <v>0</v>
      </c>
      <c r="H89" s="940">
        <v>0</v>
      </c>
      <c r="I89" s="940">
        <v>0</v>
      </c>
      <c r="J89" s="877" t="s">
        <v>2491</v>
      </c>
      <c r="K89" s="815"/>
      <c r="L89" s="484"/>
    </row>
    <row r="90" spans="1:12" x14ac:dyDescent="0.25">
      <c r="A90" s="94">
        <f t="shared" si="3"/>
        <v>64</v>
      </c>
      <c r="B90" s="565" t="s">
        <v>2397</v>
      </c>
      <c r="C90" s="940">
        <v>0</v>
      </c>
      <c r="D90" s="940">
        <v>0</v>
      </c>
      <c r="E90" s="940">
        <v>0</v>
      </c>
      <c r="F90" s="926" t="s">
        <v>2193</v>
      </c>
      <c r="G90" s="940">
        <v>0</v>
      </c>
      <c r="H90" s="940">
        <v>0</v>
      </c>
      <c r="I90" s="940">
        <v>0</v>
      </c>
      <c r="J90" s="454" t="s">
        <v>2406</v>
      </c>
      <c r="K90" s="821"/>
      <c r="L90" s="566"/>
    </row>
    <row r="91" spans="1:12" x14ac:dyDescent="0.25">
      <c r="A91" s="94">
        <f t="shared" si="3"/>
        <v>65</v>
      </c>
      <c r="B91" s="565" t="s">
        <v>1294</v>
      </c>
      <c r="C91" s="940">
        <v>0</v>
      </c>
      <c r="D91" s="940">
        <v>0</v>
      </c>
      <c r="E91" s="940">
        <v>0</v>
      </c>
      <c r="F91" s="947">
        <v>1</v>
      </c>
      <c r="G91" s="940">
        <v>0</v>
      </c>
      <c r="H91" s="940">
        <v>0</v>
      </c>
      <c r="I91" s="940">
        <v>0</v>
      </c>
      <c r="J91" s="877" t="s">
        <v>2491</v>
      </c>
      <c r="K91" s="454"/>
      <c r="L91" s="405"/>
    </row>
    <row r="92" spans="1:12" x14ac:dyDescent="0.25">
      <c r="A92" s="94">
        <f t="shared" si="3"/>
        <v>66</v>
      </c>
      <c r="B92" s="565" t="s">
        <v>1295</v>
      </c>
      <c r="C92" s="940">
        <v>0</v>
      </c>
      <c r="D92" s="940">
        <v>0</v>
      </c>
      <c r="E92" s="940">
        <v>0</v>
      </c>
      <c r="F92" s="947">
        <v>1</v>
      </c>
      <c r="G92" s="940">
        <v>0</v>
      </c>
      <c r="H92" s="940">
        <v>0</v>
      </c>
      <c r="I92" s="940">
        <v>0</v>
      </c>
      <c r="J92" s="877" t="s">
        <v>2491</v>
      </c>
      <c r="K92" s="454"/>
      <c r="L92" s="405"/>
    </row>
    <row r="93" spans="1:12" x14ac:dyDescent="0.25">
      <c r="A93" s="94">
        <f t="shared" si="3"/>
        <v>67</v>
      </c>
      <c r="B93" s="565" t="s">
        <v>2398</v>
      </c>
      <c r="C93" s="940">
        <v>0</v>
      </c>
      <c r="D93" s="940">
        <v>0</v>
      </c>
      <c r="E93" s="940">
        <v>0</v>
      </c>
      <c r="F93" s="926" t="s">
        <v>2193</v>
      </c>
      <c r="G93" s="940">
        <v>0</v>
      </c>
      <c r="H93" s="940">
        <v>0</v>
      </c>
      <c r="I93" s="940">
        <v>0</v>
      </c>
      <c r="J93" s="454" t="s">
        <v>2405</v>
      </c>
      <c r="K93" s="815"/>
      <c r="L93" s="484"/>
    </row>
    <row r="94" spans="1:12" x14ac:dyDescent="0.25">
      <c r="A94" s="94">
        <f t="shared" si="3"/>
        <v>68</v>
      </c>
      <c r="B94" s="565" t="s">
        <v>1296</v>
      </c>
      <c r="C94" s="940">
        <v>0</v>
      </c>
      <c r="D94" s="940">
        <v>0</v>
      </c>
      <c r="E94" s="940">
        <v>0</v>
      </c>
      <c r="F94" s="947">
        <v>1</v>
      </c>
      <c r="G94" s="940">
        <v>0</v>
      </c>
      <c r="H94" s="940">
        <v>0</v>
      </c>
      <c r="I94" s="940">
        <v>0</v>
      </c>
      <c r="J94" s="877" t="s">
        <v>2491</v>
      </c>
      <c r="K94" s="821"/>
      <c r="L94" s="566"/>
    </row>
    <row r="95" spans="1:12" x14ac:dyDescent="0.25">
      <c r="A95" s="94">
        <f t="shared" si="3"/>
        <v>69</v>
      </c>
      <c r="B95" s="565" t="s">
        <v>2399</v>
      </c>
      <c r="C95" s="940">
        <v>0</v>
      </c>
      <c r="D95" s="940">
        <v>0</v>
      </c>
      <c r="E95" s="940">
        <v>0</v>
      </c>
      <c r="F95" s="926" t="s">
        <v>2193</v>
      </c>
      <c r="G95" s="940">
        <v>0</v>
      </c>
      <c r="H95" s="940">
        <v>0</v>
      </c>
      <c r="I95" s="940">
        <v>0</v>
      </c>
      <c r="J95" s="454" t="s">
        <v>2405</v>
      </c>
      <c r="K95" s="454"/>
    </row>
    <row r="96" spans="1:12" x14ac:dyDescent="0.25">
      <c r="A96" s="94">
        <f t="shared" si="3"/>
        <v>70</v>
      </c>
      <c r="B96" s="565" t="s">
        <v>1297</v>
      </c>
      <c r="C96" s="940">
        <v>0</v>
      </c>
      <c r="D96" s="940">
        <v>0</v>
      </c>
      <c r="E96" s="940">
        <v>0</v>
      </c>
      <c r="F96" s="947">
        <v>1</v>
      </c>
      <c r="G96" s="940">
        <v>0</v>
      </c>
      <c r="H96" s="940">
        <v>0</v>
      </c>
      <c r="I96" s="940">
        <v>0</v>
      </c>
      <c r="J96" s="877" t="s">
        <v>2491</v>
      </c>
      <c r="K96" s="454"/>
    </row>
    <row r="97" spans="1:12" x14ac:dyDescent="0.25">
      <c r="A97" s="94">
        <f t="shared" si="3"/>
        <v>71</v>
      </c>
      <c r="B97" s="565" t="s">
        <v>2400</v>
      </c>
      <c r="C97" s="940">
        <v>0</v>
      </c>
      <c r="D97" s="940">
        <v>0</v>
      </c>
      <c r="E97" s="940">
        <v>0</v>
      </c>
      <c r="F97" s="926" t="s">
        <v>2193</v>
      </c>
      <c r="G97" s="940">
        <v>0</v>
      </c>
      <c r="H97" s="940">
        <v>0</v>
      </c>
      <c r="I97" s="940">
        <v>0</v>
      </c>
      <c r="J97" s="454" t="s">
        <v>2405</v>
      </c>
      <c r="K97" s="454"/>
    </row>
    <row r="98" spans="1:12" x14ac:dyDescent="0.25">
      <c r="A98" s="94">
        <f t="shared" si="3"/>
        <v>72</v>
      </c>
      <c r="B98" s="565" t="s">
        <v>1298</v>
      </c>
      <c r="C98" s="940">
        <v>0</v>
      </c>
      <c r="D98" s="940">
        <v>0</v>
      </c>
      <c r="E98" s="940">
        <v>0</v>
      </c>
      <c r="F98" s="947">
        <v>1</v>
      </c>
      <c r="G98" s="940">
        <v>0</v>
      </c>
      <c r="H98" s="940">
        <v>0</v>
      </c>
      <c r="I98" s="940">
        <v>0</v>
      </c>
      <c r="J98" s="877" t="s">
        <v>2491</v>
      </c>
      <c r="K98" s="454"/>
    </row>
    <row r="99" spans="1:12" x14ac:dyDescent="0.25">
      <c r="A99" s="94">
        <f t="shared" si="3"/>
        <v>73</v>
      </c>
      <c r="B99" s="565" t="s">
        <v>2401</v>
      </c>
      <c r="C99" s="940">
        <v>0</v>
      </c>
      <c r="D99" s="940">
        <v>0</v>
      </c>
      <c r="E99" s="940">
        <v>0</v>
      </c>
      <c r="F99" s="926" t="s">
        <v>2193</v>
      </c>
      <c r="G99" s="940">
        <v>0</v>
      </c>
      <c r="H99" s="940">
        <v>0</v>
      </c>
      <c r="I99" s="940">
        <v>0</v>
      </c>
      <c r="J99" s="454" t="s">
        <v>2406</v>
      </c>
      <c r="K99" s="454"/>
    </row>
    <row r="100" spans="1:12" x14ac:dyDescent="0.25">
      <c r="A100" s="94">
        <f t="shared" si="3"/>
        <v>74</v>
      </c>
      <c r="B100" s="565" t="s">
        <v>1299</v>
      </c>
      <c r="C100" s="940">
        <v>0</v>
      </c>
      <c r="D100" s="940">
        <v>0</v>
      </c>
      <c r="E100" s="940">
        <v>0</v>
      </c>
      <c r="F100" s="947">
        <v>1</v>
      </c>
      <c r="G100" s="940">
        <v>0</v>
      </c>
      <c r="H100" s="940">
        <v>0</v>
      </c>
      <c r="I100" s="940">
        <v>0</v>
      </c>
      <c r="J100" s="877" t="s">
        <v>2491</v>
      </c>
      <c r="K100" s="454"/>
      <c r="L100" s="454"/>
    </row>
    <row r="101" spans="1:12" x14ac:dyDescent="0.25">
      <c r="A101" s="94">
        <f t="shared" si="3"/>
        <v>75</v>
      </c>
      <c r="B101" s="565" t="s">
        <v>2408</v>
      </c>
      <c r="C101" s="940">
        <v>0</v>
      </c>
      <c r="D101" s="940">
        <v>0</v>
      </c>
      <c r="E101" s="940">
        <v>0</v>
      </c>
      <c r="F101" s="926" t="s">
        <v>2193</v>
      </c>
      <c r="G101" s="940">
        <v>0</v>
      </c>
      <c r="H101" s="940">
        <v>0</v>
      </c>
      <c r="I101" s="940">
        <v>0</v>
      </c>
      <c r="J101" s="454" t="s">
        <v>2407</v>
      </c>
      <c r="K101" s="454"/>
    </row>
    <row r="102" spans="1:12" x14ac:dyDescent="0.25">
      <c r="A102" s="94">
        <f t="shared" si="3"/>
        <v>76</v>
      </c>
      <c r="B102" s="565" t="s">
        <v>1301</v>
      </c>
      <c r="C102" s="940">
        <v>0</v>
      </c>
      <c r="D102" s="940">
        <v>0</v>
      </c>
      <c r="E102" s="940">
        <v>0</v>
      </c>
      <c r="F102" s="947">
        <v>1</v>
      </c>
      <c r="G102" s="940">
        <v>0</v>
      </c>
      <c r="H102" s="940">
        <v>0</v>
      </c>
      <c r="I102" s="940">
        <v>0</v>
      </c>
      <c r="J102" s="877" t="s">
        <v>2491</v>
      </c>
      <c r="K102" s="454"/>
      <c r="L102" s="443"/>
    </row>
    <row r="103" spans="1:12" x14ac:dyDescent="0.25">
      <c r="A103" s="94">
        <f t="shared" si="3"/>
        <v>77</v>
      </c>
      <c r="B103" s="565" t="s">
        <v>2402</v>
      </c>
      <c r="C103" s="940">
        <v>0</v>
      </c>
      <c r="D103" s="940">
        <v>0</v>
      </c>
      <c r="E103" s="940">
        <v>0</v>
      </c>
      <c r="F103" s="926" t="s">
        <v>2193</v>
      </c>
      <c r="G103" s="940">
        <v>0</v>
      </c>
      <c r="H103" s="940">
        <v>0</v>
      </c>
      <c r="I103" s="940">
        <v>0</v>
      </c>
      <c r="J103" s="454" t="s">
        <v>2405</v>
      </c>
      <c r="K103" s="454"/>
    </row>
    <row r="104" spans="1:12" x14ac:dyDescent="0.25">
      <c r="A104" s="94">
        <f t="shared" si="3"/>
        <v>78</v>
      </c>
      <c r="B104" s="503" t="s">
        <v>510</v>
      </c>
      <c r="C104" s="813" t="s">
        <v>77</v>
      </c>
      <c r="D104" s="813" t="s">
        <v>77</v>
      </c>
      <c r="E104" s="813" t="s">
        <v>77</v>
      </c>
      <c r="F104" s="813" t="s">
        <v>77</v>
      </c>
      <c r="G104" s="813" t="s">
        <v>77</v>
      </c>
      <c r="H104" s="813" t="s">
        <v>77</v>
      </c>
      <c r="I104" s="813" t="s">
        <v>77</v>
      </c>
    </row>
    <row r="105" spans="1:12" x14ac:dyDescent="0.25">
      <c r="A105" s="94">
        <f t="shared" si="3"/>
        <v>79</v>
      </c>
      <c r="B105" s="565" t="s">
        <v>2030</v>
      </c>
      <c r="C105" s="829">
        <f>J42</f>
        <v>0</v>
      </c>
      <c r="D105" s="829">
        <f>K42</f>
        <v>0</v>
      </c>
      <c r="E105" s="829">
        <f>L42</f>
        <v>0</v>
      </c>
      <c r="F105" s="830"/>
      <c r="G105" s="944">
        <v>0</v>
      </c>
      <c r="H105" s="944">
        <v>0</v>
      </c>
      <c r="I105" s="831">
        <v>0</v>
      </c>
      <c r="J105" s="456" t="s">
        <v>331</v>
      </c>
    </row>
    <row r="106" spans="1:12" x14ac:dyDescent="0.25">
      <c r="A106" s="94">
        <f t="shared" si="3"/>
        <v>80</v>
      </c>
      <c r="B106" s="405" t="s">
        <v>1316</v>
      </c>
      <c r="C106" s="940">
        <v>0</v>
      </c>
      <c r="D106" s="940">
        <v>0</v>
      </c>
      <c r="E106" s="940">
        <v>0</v>
      </c>
      <c r="F106" s="832"/>
      <c r="G106" s="940">
        <v>0</v>
      </c>
      <c r="H106" s="940">
        <v>0</v>
      </c>
      <c r="I106" s="940">
        <v>0</v>
      </c>
      <c r="K106" s="810"/>
      <c r="L106" s="454"/>
    </row>
    <row r="107" spans="1:12" x14ac:dyDescent="0.25">
      <c r="A107" s="94">
        <f t="shared" si="3"/>
        <v>81</v>
      </c>
      <c r="B107" s="484"/>
      <c r="C107" s="566"/>
      <c r="D107" s="566"/>
      <c r="E107" s="566"/>
      <c r="F107" s="832"/>
      <c r="G107" s="833"/>
      <c r="H107" s="827"/>
      <c r="I107" s="827"/>
      <c r="J107" s="827"/>
      <c r="K107" s="810"/>
    </row>
    <row r="108" spans="1:12" x14ac:dyDescent="0.25">
      <c r="A108" s="547"/>
      <c r="B108" s="406"/>
      <c r="C108" s="414"/>
      <c r="D108" s="414"/>
      <c r="E108" s="414"/>
      <c r="F108" s="415"/>
      <c r="G108" s="416"/>
      <c r="H108" s="414"/>
      <c r="I108" s="414"/>
      <c r="J108" s="414"/>
    </row>
    <row r="109" spans="1:12" x14ac:dyDescent="0.25">
      <c r="A109" s="547"/>
      <c r="B109" s="76" t="s">
        <v>363</v>
      </c>
      <c r="C109" s="394" t="s">
        <v>347</v>
      </c>
      <c r="D109" s="394" t="s">
        <v>348</v>
      </c>
      <c r="E109" s="394" t="s">
        <v>349</v>
      </c>
      <c r="F109" s="395" t="s">
        <v>350</v>
      </c>
      <c r="G109" s="394" t="s">
        <v>351</v>
      </c>
      <c r="H109" s="394" t="s">
        <v>352</v>
      </c>
      <c r="I109" s="394" t="s">
        <v>541</v>
      </c>
      <c r="J109" s="903" t="s">
        <v>955</v>
      </c>
      <c r="K109" s="454"/>
    </row>
    <row r="110" spans="1:12" x14ac:dyDescent="0.25">
      <c r="A110" s="547"/>
      <c r="C110" s="815" t="s">
        <v>1312</v>
      </c>
      <c r="D110" s="815" t="s">
        <v>1313</v>
      </c>
      <c r="E110" s="815" t="s">
        <v>1314</v>
      </c>
      <c r="F110" s="825" t="s">
        <v>1185</v>
      </c>
      <c r="G110" s="539" t="s">
        <v>1274</v>
      </c>
      <c r="H110" s="540" t="s">
        <v>1678</v>
      </c>
      <c r="I110" s="540" t="s">
        <v>1679</v>
      </c>
      <c r="J110" s="454"/>
      <c r="K110" s="454"/>
    </row>
    <row r="111" spans="1:12" x14ac:dyDescent="0.25">
      <c r="A111" s="547"/>
      <c r="C111" s="815"/>
      <c r="D111" s="815"/>
      <c r="E111" s="815"/>
      <c r="F111" s="824"/>
      <c r="G111" s="825"/>
      <c r="H111" s="484"/>
      <c r="I111" s="484"/>
      <c r="J111" s="815"/>
      <c r="K111" s="454"/>
    </row>
    <row r="112" spans="1:12" x14ac:dyDescent="0.25">
      <c r="A112" s="547"/>
      <c r="B112" s="1184" t="s">
        <v>1278</v>
      </c>
      <c r="C112" s="1185" t="s">
        <v>1281</v>
      </c>
      <c r="D112" s="1182"/>
      <c r="E112" s="1183"/>
      <c r="F112" s="412" t="s">
        <v>1443</v>
      </c>
      <c r="G112" s="1176" t="s">
        <v>1315</v>
      </c>
      <c r="H112" s="1177"/>
      <c r="I112" s="1178"/>
      <c r="J112" s="904" t="s">
        <v>1744</v>
      </c>
      <c r="K112" s="454"/>
    </row>
    <row r="113" spans="1:11" x14ac:dyDescent="0.25">
      <c r="A113" s="547"/>
      <c r="B113" s="1184"/>
      <c r="C113" s="803" t="s">
        <v>197</v>
      </c>
      <c r="D113" s="399" t="s">
        <v>1282</v>
      </c>
      <c r="E113" s="399" t="s">
        <v>1283</v>
      </c>
      <c r="F113" s="412" t="s">
        <v>434</v>
      </c>
      <c r="G113" s="803" t="s">
        <v>197</v>
      </c>
      <c r="H113" s="399" t="s">
        <v>1282</v>
      </c>
      <c r="I113" s="399" t="s">
        <v>1283</v>
      </c>
      <c r="J113" s="846" t="s">
        <v>206</v>
      </c>
      <c r="K113" s="454"/>
    </row>
    <row r="114" spans="1:11" ht="12.75" customHeight="1" x14ac:dyDescent="0.25">
      <c r="A114" s="547"/>
      <c r="B114" s="407" t="s">
        <v>1303</v>
      </c>
      <c r="C114" s="566"/>
      <c r="D114" s="566"/>
      <c r="E114" s="566"/>
      <c r="F114" s="832"/>
      <c r="G114" s="833"/>
      <c r="H114" s="827"/>
      <c r="I114" s="827"/>
      <c r="J114" s="827"/>
      <c r="K114" s="454"/>
    </row>
    <row r="115" spans="1:11" ht="12.75" customHeight="1" x14ac:dyDescent="0.25">
      <c r="A115" s="94">
        <f>A107+1</f>
        <v>82</v>
      </c>
      <c r="B115" s="565" t="s">
        <v>2403</v>
      </c>
      <c r="C115" s="940">
        <v>0</v>
      </c>
      <c r="D115" s="940">
        <v>0</v>
      </c>
      <c r="E115" s="940">
        <v>0</v>
      </c>
      <c r="F115" s="926" t="s">
        <v>2193</v>
      </c>
      <c r="G115" s="940">
        <v>0</v>
      </c>
      <c r="H115" s="940">
        <v>0</v>
      </c>
      <c r="I115" s="940">
        <v>0</v>
      </c>
      <c r="J115" s="454" t="s">
        <v>2409</v>
      </c>
      <c r="K115" s="454"/>
    </row>
    <row r="116" spans="1:11" ht="12.75" customHeight="1" x14ac:dyDescent="0.25">
      <c r="A116" s="94">
        <f t="shared" ref="A116:A121" si="4">A115+1</f>
        <v>83</v>
      </c>
      <c r="B116" s="565" t="s">
        <v>1304</v>
      </c>
      <c r="C116" s="940">
        <v>0</v>
      </c>
      <c r="D116" s="940">
        <v>0</v>
      </c>
      <c r="E116" s="940">
        <v>0</v>
      </c>
      <c r="F116" s="926" t="s">
        <v>2193</v>
      </c>
      <c r="G116" s="940">
        <v>0</v>
      </c>
      <c r="H116" s="940">
        <v>0</v>
      </c>
      <c r="I116" s="940">
        <v>0</v>
      </c>
      <c r="J116" s="454" t="s">
        <v>2409</v>
      </c>
      <c r="K116" s="454"/>
    </row>
    <row r="117" spans="1:11" ht="12.75" customHeight="1" x14ac:dyDescent="0.25">
      <c r="A117" s="94">
        <f t="shared" si="4"/>
        <v>84</v>
      </c>
      <c r="B117" s="565" t="s">
        <v>1305</v>
      </c>
      <c r="C117" s="940">
        <v>0</v>
      </c>
      <c r="D117" s="940">
        <v>0</v>
      </c>
      <c r="E117" s="940">
        <v>0</v>
      </c>
      <c r="F117" s="926" t="s">
        <v>2193</v>
      </c>
      <c r="G117" s="940">
        <v>0</v>
      </c>
      <c r="H117" s="940">
        <v>0</v>
      </c>
      <c r="I117" s="940">
        <v>0</v>
      </c>
      <c r="J117" s="454" t="s">
        <v>2409</v>
      </c>
      <c r="K117" s="454"/>
    </row>
    <row r="118" spans="1:11" ht="12.75" customHeight="1" x14ac:dyDescent="0.25">
      <c r="A118" s="94">
        <f t="shared" si="4"/>
        <v>85</v>
      </c>
      <c r="B118" s="565" t="s">
        <v>2404</v>
      </c>
      <c r="C118" s="940">
        <v>0</v>
      </c>
      <c r="D118" s="940">
        <v>0</v>
      </c>
      <c r="E118" s="940">
        <v>0</v>
      </c>
      <c r="F118" s="926" t="s">
        <v>2193</v>
      </c>
      <c r="G118" s="940">
        <v>0</v>
      </c>
      <c r="H118" s="940">
        <v>0</v>
      </c>
      <c r="I118" s="940">
        <v>0</v>
      </c>
      <c r="J118" s="454" t="s">
        <v>2409</v>
      </c>
      <c r="K118" s="454"/>
    </row>
    <row r="119" spans="1:11" ht="12.75" customHeight="1" x14ac:dyDescent="0.25">
      <c r="A119" s="94">
        <f t="shared" si="4"/>
        <v>86</v>
      </c>
      <c r="B119" s="905" t="s">
        <v>1306</v>
      </c>
      <c r="C119" s="940">
        <v>0</v>
      </c>
      <c r="D119" s="940">
        <v>0</v>
      </c>
      <c r="E119" s="940">
        <v>0</v>
      </c>
      <c r="F119" s="945">
        <v>0</v>
      </c>
      <c r="G119" s="940">
        <v>0</v>
      </c>
      <c r="H119" s="940">
        <v>0</v>
      </c>
      <c r="I119" s="940">
        <v>0</v>
      </c>
      <c r="J119" s="877" t="s">
        <v>2492</v>
      </c>
      <c r="K119" s="454"/>
    </row>
    <row r="120" spans="1:11" ht="12.75" customHeight="1" x14ac:dyDescent="0.25">
      <c r="A120" s="94">
        <f t="shared" si="4"/>
        <v>87</v>
      </c>
      <c r="B120" s="565" t="s">
        <v>2031</v>
      </c>
      <c r="C120" s="944">
        <v>0</v>
      </c>
      <c r="D120" s="944">
        <v>0</v>
      </c>
      <c r="E120" s="944">
        <v>0</v>
      </c>
      <c r="F120" s="946">
        <v>0</v>
      </c>
      <c r="G120" s="944">
        <v>0</v>
      </c>
      <c r="H120" s="944">
        <v>0</v>
      </c>
      <c r="I120" s="944">
        <v>0</v>
      </c>
      <c r="J120" s="877" t="s">
        <v>2492</v>
      </c>
      <c r="K120" s="454"/>
    </row>
    <row r="121" spans="1:11" x14ac:dyDescent="0.25">
      <c r="A121" s="94">
        <f t="shared" si="4"/>
        <v>88</v>
      </c>
      <c r="B121" s="406" t="s">
        <v>1317</v>
      </c>
      <c r="C121" s="940">
        <v>0</v>
      </c>
      <c r="D121" s="940">
        <v>0</v>
      </c>
      <c r="E121" s="940">
        <v>0</v>
      </c>
      <c r="F121" s="415"/>
      <c r="G121" s="940">
        <v>0</v>
      </c>
      <c r="H121" s="940">
        <v>0</v>
      </c>
      <c r="I121" s="940">
        <v>0</v>
      </c>
      <c r="J121" s="454"/>
      <c r="K121" s="454"/>
    </row>
    <row r="122" spans="1:11" x14ac:dyDescent="0.25">
      <c r="A122" s="94">
        <f>A121+1</f>
        <v>89</v>
      </c>
      <c r="B122" s="406"/>
      <c r="C122" s="566"/>
      <c r="D122" s="566"/>
      <c r="E122" s="566"/>
      <c r="F122" s="415"/>
      <c r="G122" s="819"/>
      <c r="H122" s="816"/>
      <c r="I122" s="417"/>
    </row>
    <row r="123" spans="1:11" x14ac:dyDescent="0.25">
      <c r="A123" s="94">
        <f>A122+1</f>
        <v>90</v>
      </c>
      <c r="B123" s="815"/>
      <c r="C123" s="821"/>
      <c r="D123" s="821"/>
      <c r="E123" s="821"/>
      <c r="F123" s="832"/>
      <c r="G123" s="827"/>
      <c r="H123" s="827"/>
      <c r="I123" s="827"/>
    </row>
    <row r="124" spans="1:11" x14ac:dyDescent="0.25">
      <c r="A124" s="94">
        <f>A123+1</f>
        <v>91</v>
      </c>
      <c r="B124" s="406" t="s">
        <v>1681</v>
      </c>
      <c r="C124" s="940">
        <v>0</v>
      </c>
      <c r="D124" s="940">
        <v>0</v>
      </c>
      <c r="E124" s="940">
        <v>0</v>
      </c>
      <c r="F124" s="403"/>
      <c r="G124" s="940">
        <v>0</v>
      </c>
      <c r="H124" s="940">
        <v>0</v>
      </c>
      <c r="I124" s="940">
        <v>0</v>
      </c>
    </row>
    <row r="125" spans="1:11" x14ac:dyDescent="0.25">
      <c r="A125" s="94">
        <f>A124+1</f>
        <v>92</v>
      </c>
      <c r="B125" s="454" t="str">
        <f>"Line "&amp;A106&amp;" +  Line "&amp;A121&amp;""</f>
        <v>Line 80 +  Line 88</v>
      </c>
    </row>
    <row r="127" spans="1:11" x14ac:dyDescent="0.25">
      <c r="B127" s="418" t="s">
        <v>233</v>
      </c>
    </row>
    <row r="128" spans="1:11" x14ac:dyDescent="0.25">
      <c r="B128" s="835" t="s">
        <v>1318</v>
      </c>
      <c r="G128" s="836"/>
      <c r="H128" s="837"/>
      <c r="I128" s="837"/>
      <c r="J128" s="454"/>
      <c r="K128" s="454"/>
    </row>
    <row r="129" spans="2:11" x14ac:dyDescent="0.25">
      <c r="B129" s="838" t="s">
        <v>1319</v>
      </c>
      <c r="G129" s="836"/>
      <c r="H129" s="837"/>
      <c r="I129" s="837"/>
      <c r="J129" s="454"/>
      <c r="K129" s="454"/>
    </row>
    <row r="130" spans="2:11" x14ac:dyDescent="0.25">
      <c r="B130" s="839" t="s">
        <v>1320</v>
      </c>
      <c r="G130" s="836"/>
      <c r="H130" s="837"/>
      <c r="I130" s="837"/>
      <c r="J130" s="454"/>
      <c r="K130" s="454"/>
    </row>
    <row r="131" spans="2:11" x14ac:dyDescent="0.25">
      <c r="B131" s="569" t="s">
        <v>1321</v>
      </c>
      <c r="G131" s="836"/>
      <c r="H131" s="837"/>
      <c r="I131" s="837"/>
      <c r="J131" s="454"/>
      <c r="K131" s="454"/>
    </row>
    <row r="132" spans="2:11" x14ac:dyDescent="0.25">
      <c r="B132" s="569" t="s">
        <v>1322</v>
      </c>
      <c r="G132" s="836"/>
      <c r="H132" s="837"/>
      <c r="I132" s="837"/>
      <c r="J132" s="454"/>
      <c r="K132" s="454"/>
    </row>
    <row r="133" spans="2:11" x14ac:dyDescent="0.25">
      <c r="B133" s="569" t="s">
        <v>1323</v>
      </c>
      <c r="G133" s="836"/>
      <c r="H133" s="837"/>
      <c r="I133" s="837"/>
      <c r="J133" s="454"/>
      <c r="K133" s="454"/>
    </row>
    <row r="134" spans="2:11" x14ac:dyDescent="0.25">
      <c r="B134" s="906" t="s">
        <v>1727</v>
      </c>
      <c r="G134" s="836"/>
      <c r="H134" s="837"/>
      <c r="I134" s="837"/>
      <c r="J134" s="454"/>
      <c r="K134" s="454"/>
    </row>
    <row r="135" spans="2:11" x14ac:dyDescent="0.25">
      <c r="B135" s="569" t="s">
        <v>2348</v>
      </c>
      <c r="G135" s="836"/>
      <c r="H135" s="837"/>
      <c r="I135" s="837"/>
      <c r="J135" s="454"/>
      <c r="K135" s="454"/>
    </row>
    <row r="136" spans="2:11" x14ac:dyDescent="0.25">
      <c r="B136" s="569" t="s">
        <v>2347</v>
      </c>
      <c r="G136" s="836"/>
      <c r="H136" s="837"/>
      <c r="I136" s="837"/>
      <c r="J136" s="454"/>
      <c r="K136" s="454"/>
    </row>
    <row r="137" spans="2:11" x14ac:dyDescent="0.25">
      <c r="B137" s="840" t="s">
        <v>510</v>
      </c>
      <c r="C137" s="811"/>
      <c r="D137" s="811"/>
      <c r="E137" s="811"/>
      <c r="F137" s="812"/>
      <c r="G137" s="841"/>
      <c r="H137" s="842"/>
      <c r="I137" s="842"/>
      <c r="J137" s="811"/>
      <c r="K137" s="811"/>
    </row>
    <row r="138" spans="2:11" x14ac:dyDescent="0.25">
      <c r="B138" s="454" t="s">
        <v>2041</v>
      </c>
      <c r="G138" s="836"/>
      <c r="H138" s="837"/>
      <c r="I138" s="837"/>
      <c r="J138" s="454"/>
      <c r="K138" s="454"/>
    </row>
    <row r="139" spans="2:11" x14ac:dyDescent="0.25">
      <c r="B139" s="454" t="s">
        <v>2032</v>
      </c>
      <c r="G139" s="836"/>
      <c r="H139" s="837"/>
      <c r="I139" s="837"/>
      <c r="J139" s="454"/>
      <c r="K139" s="454"/>
    </row>
    <row r="140" spans="2:11" x14ac:dyDescent="0.25">
      <c r="G140" s="836"/>
      <c r="H140" s="837"/>
      <c r="I140" s="837"/>
      <c r="J140" s="454"/>
      <c r="K140" s="454"/>
    </row>
    <row r="141" spans="2:11" x14ac:dyDescent="0.25">
      <c r="B141" s="907" t="s">
        <v>2033</v>
      </c>
      <c r="C141" s="948" t="s">
        <v>77</v>
      </c>
      <c r="G141" s="836"/>
      <c r="H141" s="837"/>
      <c r="I141" s="837"/>
      <c r="J141" s="454"/>
      <c r="K141" s="454"/>
    </row>
    <row r="142" spans="2:11" x14ac:dyDescent="0.25">
      <c r="G142" s="836"/>
      <c r="H142" s="837"/>
      <c r="I142" s="837"/>
      <c r="J142" s="454"/>
      <c r="K142" s="454"/>
    </row>
    <row r="143" spans="2:11" x14ac:dyDescent="0.25">
      <c r="B143" s="843"/>
      <c r="C143" s="435" t="s">
        <v>1444</v>
      </c>
      <c r="D143" s="435" t="s">
        <v>155</v>
      </c>
      <c r="G143" s="836"/>
      <c r="H143" s="837"/>
      <c r="I143" s="837"/>
      <c r="J143" s="454"/>
      <c r="K143" s="454"/>
    </row>
    <row r="144" spans="2:11" x14ac:dyDescent="0.25">
      <c r="B144" s="843" t="s">
        <v>2034</v>
      </c>
      <c r="C144" s="926" t="s">
        <v>2193</v>
      </c>
      <c r="D144" s="843" t="str">
        <f>"Line "&amp;A43&amp;", Col 3 / Line "&amp;A60&amp;", Col 3"</f>
        <v>Line 33, Col 3 / Line 43, Col 3</v>
      </c>
      <c r="G144" s="836"/>
      <c r="H144" s="837"/>
      <c r="I144" s="837"/>
      <c r="J144" s="454"/>
      <c r="K144" s="454"/>
    </row>
    <row r="145" spans="2:11" x14ac:dyDescent="0.25">
      <c r="B145" s="843" t="s">
        <v>2035</v>
      </c>
      <c r="C145" s="926" t="s">
        <v>2193</v>
      </c>
      <c r="D145" s="843" t="str">
        <f>"Line "&amp;A58&amp;", Col 3 / Line "&amp;A60&amp;", Col 3"</f>
        <v>Line 41, Col 3 / Line 43, Col 3</v>
      </c>
      <c r="G145" s="836"/>
      <c r="H145" s="837"/>
      <c r="I145" s="837"/>
      <c r="J145" s="454"/>
      <c r="K145" s="454"/>
    </row>
    <row r="146" spans="2:11" x14ac:dyDescent="0.25">
      <c r="B146" s="454"/>
      <c r="G146" s="836"/>
      <c r="H146" s="837"/>
      <c r="I146" s="837"/>
      <c r="J146" s="454"/>
      <c r="K146" s="454"/>
    </row>
    <row r="147" spans="2:11" x14ac:dyDescent="0.25">
      <c r="B147" s="454" t="s">
        <v>2036</v>
      </c>
      <c r="G147" s="836"/>
      <c r="H147" s="837"/>
      <c r="I147" s="837"/>
      <c r="J147" s="454"/>
      <c r="K147" s="454"/>
    </row>
    <row r="148" spans="2:11" x14ac:dyDescent="0.25">
      <c r="B148" s="454" t="s">
        <v>2037</v>
      </c>
      <c r="G148" s="836"/>
      <c r="H148" s="837"/>
      <c r="I148" s="837"/>
      <c r="J148" s="454"/>
      <c r="K148" s="454"/>
    </row>
    <row r="149" spans="2:11" x14ac:dyDescent="0.25">
      <c r="B149" s="454" t="s">
        <v>1743</v>
      </c>
      <c r="C149" s="926" t="s">
        <v>2193</v>
      </c>
      <c r="G149" s="836"/>
      <c r="H149" s="837"/>
      <c r="I149" s="837"/>
      <c r="J149" s="454"/>
      <c r="K149" s="454"/>
    </row>
    <row r="150" spans="2:11" x14ac:dyDescent="0.25">
      <c r="B150" s="454" t="s">
        <v>1680</v>
      </c>
      <c r="G150" s="836"/>
      <c r="H150" s="837"/>
      <c r="I150" s="837"/>
      <c r="J150" s="454"/>
      <c r="K150" s="454"/>
    </row>
    <row r="151" spans="2:11" x14ac:dyDescent="0.25">
      <c r="B151" s="454" t="s">
        <v>2493</v>
      </c>
      <c r="G151" s="836"/>
      <c r="H151" s="837"/>
      <c r="I151" s="837"/>
      <c r="J151" s="454"/>
      <c r="K151" s="454"/>
    </row>
    <row r="152" spans="2:11" x14ac:dyDescent="0.25">
      <c r="B152" s="454" t="s">
        <v>1830</v>
      </c>
      <c r="G152" s="836"/>
      <c r="H152" s="837"/>
      <c r="I152" s="837"/>
      <c r="J152" s="454"/>
      <c r="K152" s="454"/>
    </row>
    <row r="153" spans="2:11" x14ac:dyDescent="0.25">
      <c r="B153" s="454"/>
      <c r="G153" s="836"/>
      <c r="H153" s="837"/>
      <c r="I153" s="837"/>
      <c r="J153" s="454"/>
      <c r="K153" s="454"/>
    </row>
    <row r="154" spans="2:11" x14ac:dyDescent="0.25">
      <c r="B154" s="843"/>
      <c r="G154" s="836"/>
      <c r="H154" s="837"/>
      <c r="I154" s="837"/>
      <c r="J154" s="908"/>
      <c r="K154" s="454"/>
    </row>
    <row r="155" spans="2:11" x14ac:dyDescent="0.25">
      <c r="B155" s="909"/>
      <c r="G155" s="836"/>
      <c r="H155" s="837"/>
      <c r="I155" s="837"/>
      <c r="J155" s="926"/>
      <c r="K155" s="454"/>
    </row>
    <row r="156" spans="2:11" x14ac:dyDescent="0.25">
      <c r="B156" s="909"/>
      <c r="G156" s="836"/>
      <c r="H156" s="837"/>
      <c r="I156" s="837"/>
      <c r="J156" s="910"/>
      <c r="K156" s="454"/>
    </row>
    <row r="157" spans="2:11" x14ac:dyDescent="0.25">
      <c r="B157" s="843"/>
      <c r="G157" s="836"/>
      <c r="H157" s="837"/>
      <c r="I157" s="837"/>
      <c r="J157" s="454"/>
      <c r="K157" s="454"/>
    </row>
    <row r="158" spans="2:11" x14ac:dyDescent="0.25">
      <c r="B158" s="909"/>
      <c r="G158" s="836"/>
      <c r="H158" s="837"/>
      <c r="I158" s="837"/>
      <c r="J158" s="926"/>
      <c r="K158" s="454"/>
    </row>
    <row r="159" spans="2:11" x14ac:dyDescent="0.25">
      <c r="B159" s="843"/>
      <c r="G159" s="836"/>
      <c r="H159" s="837"/>
      <c r="I159" s="837"/>
      <c r="J159" s="454"/>
      <c r="K159" s="454"/>
    </row>
    <row r="160" spans="2:11" x14ac:dyDescent="0.25">
      <c r="B160" s="909"/>
      <c r="G160" s="836"/>
      <c r="H160" s="837"/>
      <c r="I160" s="837"/>
      <c r="J160" s="926"/>
      <c r="K160" s="454"/>
    </row>
    <row r="161" spans="2:11" x14ac:dyDescent="0.25">
      <c r="B161" s="911"/>
      <c r="G161" s="836"/>
      <c r="H161" s="837"/>
      <c r="I161" s="837"/>
      <c r="J161" s="454"/>
      <c r="K161" s="454"/>
    </row>
    <row r="162" spans="2:11" x14ac:dyDescent="0.25">
      <c r="B162" s="911"/>
      <c r="G162" s="836"/>
      <c r="H162" s="837"/>
      <c r="I162" s="837"/>
      <c r="J162" s="454"/>
      <c r="K162" s="454"/>
    </row>
    <row r="163" spans="2:11" x14ac:dyDescent="0.25">
      <c r="B163" s="911"/>
      <c r="G163" s="836"/>
      <c r="H163" s="837"/>
      <c r="I163" s="837"/>
      <c r="J163" s="454"/>
      <c r="K163" s="454"/>
    </row>
    <row r="164" spans="2:11" x14ac:dyDescent="0.25">
      <c r="B164" s="911"/>
      <c r="G164" s="836"/>
      <c r="H164" s="837"/>
      <c r="I164" s="837"/>
      <c r="J164" s="454"/>
      <c r="K164" s="454"/>
    </row>
    <row r="165" spans="2:11" x14ac:dyDescent="0.25">
      <c r="B165" s="843"/>
      <c r="G165" s="836"/>
      <c r="H165" s="837"/>
      <c r="I165" s="837"/>
      <c r="J165" s="454"/>
      <c r="K165" s="454"/>
    </row>
    <row r="166" spans="2:11" x14ac:dyDescent="0.25">
      <c r="B166" s="909"/>
      <c r="G166" s="836"/>
      <c r="H166" s="837"/>
      <c r="I166" s="837"/>
      <c r="J166" s="926"/>
      <c r="K166" s="454"/>
    </row>
    <row r="167" spans="2:11" x14ac:dyDescent="0.25">
      <c r="B167" s="909"/>
      <c r="G167" s="836"/>
      <c r="H167" s="837"/>
      <c r="I167" s="837"/>
      <c r="J167" s="454"/>
      <c r="K167" s="454"/>
    </row>
    <row r="168" spans="2:11" x14ac:dyDescent="0.25">
      <c r="G168" s="836"/>
      <c r="H168" s="837"/>
      <c r="I168" s="837"/>
      <c r="J168" s="454"/>
      <c r="K168" s="454"/>
    </row>
  </sheetData>
  <mergeCells count="14">
    <mergeCell ref="J8:L8"/>
    <mergeCell ref="B49:B50"/>
    <mergeCell ref="C49:E49"/>
    <mergeCell ref="G49:I49"/>
    <mergeCell ref="J49:L49"/>
    <mergeCell ref="G112:I112"/>
    <mergeCell ref="G71:I71"/>
    <mergeCell ref="B8:B9"/>
    <mergeCell ref="C8:E8"/>
    <mergeCell ref="G8:I8"/>
    <mergeCell ref="B71:B72"/>
    <mergeCell ref="C71:E71"/>
    <mergeCell ref="B112:B113"/>
    <mergeCell ref="C112:E112"/>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45" max="11" man="1"/>
    <brk id="65" max="16383" man="1"/>
    <brk id="1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4"/>
  <sheetViews>
    <sheetView zoomScale="90" zoomScaleNormal="90" workbookViewId="0"/>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283</v>
      </c>
      <c r="B1" s="443"/>
      <c r="C1" s="443"/>
      <c r="F1" s="37" t="s">
        <v>17</v>
      </c>
      <c r="G1" s="86"/>
      <c r="H1" s="54"/>
      <c r="I1" s="54"/>
    </row>
    <row r="2" spans="1:24" x14ac:dyDescent="0.25">
      <c r="E2" s="76" t="s">
        <v>363</v>
      </c>
      <c r="F2" s="76" t="s">
        <v>347</v>
      </c>
      <c r="G2" s="76" t="s">
        <v>348</v>
      </c>
      <c r="H2" s="76" t="s">
        <v>349</v>
      </c>
      <c r="I2" s="54"/>
    </row>
    <row r="3" spans="1:24" x14ac:dyDescent="0.25">
      <c r="G3" s="54" t="s">
        <v>213</v>
      </c>
    </row>
    <row r="4" spans="1:24" x14ac:dyDescent="0.25">
      <c r="E4" s="2" t="s">
        <v>482</v>
      </c>
      <c r="F4" s="23" t="s">
        <v>195</v>
      </c>
      <c r="G4" s="2" t="s">
        <v>1383</v>
      </c>
      <c r="I4" s="2"/>
    </row>
    <row r="5" spans="1:24" x14ac:dyDescent="0.25">
      <c r="A5" s="46" t="s">
        <v>322</v>
      </c>
      <c r="B5" s="3"/>
      <c r="C5" s="3" t="s">
        <v>116</v>
      </c>
      <c r="D5" s="3" t="s">
        <v>101</v>
      </c>
      <c r="E5" s="3" t="s">
        <v>176</v>
      </c>
      <c r="F5" s="22" t="s">
        <v>180</v>
      </c>
      <c r="G5" s="3" t="s">
        <v>117</v>
      </c>
      <c r="H5" s="3" t="s">
        <v>267</v>
      </c>
      <c r="I5" s="3" t="s">
        <v>169</v>
      </c>
      <c r="K5" s="3"/>
      <c r="L5" s="3"/>
      <c r="M5" s="3"/>
      <c r="N5" s="3"/>
      <c r="O5" s="3"/>
      <c r="P5" s="3"/>
      <c r="Q5" s="3"/>
      <c r="R5" s="3"/>
      <c r="S5" s="3"/>
      <c r="T5" s="3"/>
      <c r="U5" s="3"/>
      <c r="V5" s="3"/>
      <c r="W5" s="3"/>
      <c r="X5" s="3"/>
    </row>
    <row r="6" spans="1:24" x14ac:dyDescent="0.25">
      <c r="A6" s="2">
        <v>1</v>
      </c>
      <c r="C6" s="54">
        <v>920</v>
      </c>
      <c r="D6" t="s">
        <v>103</v>
      </c>
      <c r="E6" s="932">
        <v>0</v>
      </c>
      <c r="F6" s="54" t="s">
        <v>118</v>
      </c>
      <c r="G6" s="940">
        <v>0</v>
      </c>
      <c r="H6" s="940">
        <v>0</v>
      </c>
    </row>
    <row r="7" spans="1:24" x14ac:dyDescent="0.25">
      <c r="A7" s="2">
        <f>A6+1</f>
        <v>2</v>
      </c>
      <c r="C7" s="54">
        <v>921</v>
      </c>
      <c r="D7" t="s">
        <v>104</v>
      </c>
      <c r="E7" s="932">
        <v>0</v>
      </c>
      <c r="F7" s="54" t="s">
        <v>119</v>
      </c>
      <c r="G7" s="940">
        <v>0</v>
      </c>
      <c r="H7" s="940">
        <v>0</v>
      </c>
    </row>
    <row r="8" spans="1:24" x14ac:dyDescent="0.25">
      <c r="A8" s="2">
        <f>A7+1</f>
        <v>3</v>
      </c>
      <c r="C8" s="54">
        <v>922</v>
      </c>
      <c r="D8" t="s">
        <v>105</v>
      </c>
      <c r="E8" s="932">
        <v>0</v>
      </c>
      <c r="F8" s="54" t="s">
        <v>120</v>
      </c>
      <c r="G8" s="940">
        <v>0</v>
      </c>
      <c r="H8" s="940">
        <v>0</v>
      </c>
      <c r="I8" s="96" t="s">
        <v>1768</v>
      </c>
    </row>
    <row r="9" spans="1:24" x14ac:dyDescent="0.25">
      <c r="A9" s="2">
        <f t="shared" ref="A9:A20" si="0">A8+1</f>
        <v>4</v>
      </c>
      <c r="B9" s="2"/>
      <c r="C9" s="54">
        <v>923</v>
      </c>
      <c r="D9" t="s">
        <v>106</v>
      </c>
      <c r="E9" s="932">
        <v>0</v>
      </c>
      <c r="F9" s="54" t="s">
        <v>121</v>
      </c>
      <c r="G9" s="940">
        <v>0</v>
      </c>
      <c r="H9" s="940">
        <v>0</v>
      </c>
    </row>
    <row r="10" spans="1:24" x14ac:dyDescent="0.25">
      <c r="A10" s="2">
        <f t="shared" si="0"/>
        <v>5</v>
      </c>
      <c r="B10" s="2"/>
      <c r="C10" s="54">
        <v>924</v>
      </c>
      <c r="D10" t="s">
        <v>107</v>
      </c>
      <c r="E10" s="932">
        <v>0</v>
      </c>
      <c r="F10" s="54" t="s">
        <v>122</v>
      </c>
      <c r="G10" s="940">
        <v>0</v>
      </c>
      <c r="H10" s="940">
        <v>0</v>
      </c>
    </row>
    <row r="11" spans="1:24" x14ac:dyDescent="0.25">
      <c r="A11" s="2">
        <f t="shared" si="0"/>
        <v>6</v>
      </c>
      <c r="B11" s="2"/>
      <c r="C11" s="54">
        <v>925</v>
      </c>
      <c r="D11" t="s">
        <v>108</v>
      </c>
      <c r="E11" s="932">
        <v>0</v>
      </c>
      <c r="F11" s="54" t="s">
        <v>123</v>
      </c>
      <c r="G11" s="940">
        <v>0</v>
      </c>
      <c r="H11" s="940">
        <v>0</v>
      </c>
    </row>
    <row r="12" spans="1:24" x14ac:dyDescent="0.25">
      <c r="A12" s="2">
        <f t="shared" si="0"/>
        <v>7</v>
      </c>
      <c r="B12" s="2"/>
      <c r="C12" s="54">
        <v>926</v>
      </c>
      <c r="D12" t="s">
        <v>109</v>
      </c>
      <c r="E12" s="932">
        <v>0</v>
      </c>
      <c r="F12" s="54" t="s">
        <v>124</v>
      </c>
      <c r="G12" s="940">
        <v>0</v>
      </c>
      <c r="H12" s="940">
        <v>0</v>
      </c>
    </row>
    <row r="13" spans="1:24" x14ac:dyDescent="0.25">
      <c r="A13" s="2">
        <f t="shared" si="0"/>
        <v>8</v>
      </c>
      <c r="B13" s="2"/>
      <c r="C13" s="54">
        <v>927</v>
      </c>
      <c r="D13" t="s">
        <v>110</v>
      </c>
      <c r="E13" s="932">
        <v>0</v>
      </c>
      <c r="F13" s="54" t="s">
        <v>125</v>
      </c>
      <c r="G13" s="940">
        <v>0</v>
      </c>
      <c r="H13" s="940">
        <v>0</v>
      </c>
    </row>
    <row r="14" spans="1:24" x14ac:dyDescent="0.25">
      <c r="A14" s="2">
        <f t="shared" si="0"/>
        <v>9</v>
      </c>
      <c r="B14" s="2"/>
      <c r="C14" s="54">
        <v>928</v>
      </c>
      <c r="D14" s="11" t="s">
        <v>111</v>
      </c>
      <c r="E14" s="932">
        <v>0</v>
      </c>
      <c r="F14" s="54" t="s">
        <v>126</v>
      </c>
      <c r="G14" s="940">
        <v>0</v>
      </c>
      <c r="H14" s="940">
        <v>0</v>
      </c>
    </row>
    <row r="15" spans="1:24" x14ac:dyDescent="0.25">
      <c r="A15" s="2">
        <f t="shared" si="0"/>
        <v>10</v>
      </c>
      <c r="B15" s="2"/>
      <c r="C15" s="54">
        <v>929</v>
      </c>
      <c r="D15" t="s">
        <v>112</v>
      </c>
      <c r="E15" s="932">
        <v>0</v>
      </c>
      <c r="F15" s="54" t="s">
        <v>127</v>
      </c>
      <c r="G15" s="940">
        <v>0</v>
      </c>
      <c r="H15" s="940">
        <v>0</v>
      </c>
    </row>
    <row r="16" spans="1:24" x14ac:dyDescent="0.25">
      <c r="A16" s="2">
        <f t="shared" si="0"/>
        <v>11</v>
      </c>
      <c r="B16" s="2"/>
      <c r="C16" s="54">
        <v>930.1</v>
      </c>
      <c r="D16" t="s">
        <v>113</v>
      </c>
      <c r="E16" s="932">
        <v>0</v>
      </c>
      <c r="F16" s="54" t="s">
        <v>128</v>
      </c>
      <c r="G16" s="940">
        <v>0</v>
      </c>
      <c r="H16" s="940">
        <v>0</v>
      </c>
    </row>
    <row r="17" spans="1:8" x14ac:dyDescent="0.25">
      <c r="A17" s="2">
        <f t="shared" si="0"/>
        <v>12</v>
      </c>
      <c r="B17" s="2"/>
      <c r="C17" s="54">
        <v>930.2</v>
      </c>
      <c r="D17" t="s">
        <v>89</v>
      </c>
      <c r="E17" s="932">
        <v>0</v>
      </c>
      <c r="F17" s="54" t="s">
        <v>129</v>
      </c>
      <c r="G17" s="940">
        <v>0</v>
      </c>
      <c r="H17" s="940">
        <v>0</v>
      </c>
    </row>
    <row r="18" spans="1:8" x14ac:dyDescent="0.25">
      <c r="A18" s="2">
        <f t="shared" si="0"/>
        <v>13</v>
      </c>
      <c r="B18" s="2"/>
      <c r="C18" s="54">
        <v>931</v>
      </c>
      <c r="D18" t="s">
        <v>114</v>
      </c>
      <c r="E18" s="932">
        <v>0</v>
      </c>
      <c r="F18" s="54" t="s">
        <v>130</v>
      </c>
      <c r="G18" s="940">
        <v>0</v>
      </c>
      <c r="H18" s="940">
        <v>0</v>
      </c>
    </row>
    <row r="19" spans="1:8" ht="15" x14ac:dyDescent="0.4">
      <c r="A19" s="2">
        <f t="shared" si="0"/>
        <v>14</v>
      </c>
      <c r="B19" s="2"/>
      <c r="C19" s="54">
        <v>935</v>
      </c>
      <c r="D19" t="s">
        <v>115</v>
      </c>
      <c r="E19" s="933">
        <v>0</v>
      </c>
      <c r="F19" s="54" t="s">
        <v>131</v>
      </c>
      <c r="G19" s="940">
        <v>0</v>
      </c>
      <c r="H19" s="941">
        <v>0</v>
      </c>
    </row>
    <row r="20" spans="1:8" x14ac:dyDescent="0.25">
      <c r="A20" s="2">
        <f t="shared" si="0"/>
        <v>15</v>
      </c>
      <c r="E20" s="940">
        <v>0</v>
      </c>
      <c r="G20" s="30" t="s">
        <v>132</v>
      </c>
      <c r="H20" s="940">
        <v>0</v>
      </c>
    </row>
    <row r="22" spans="1:8" x14ac:dyDescent="0.25">
      <c r="F22" s="3" t="s">
        <v>176</v>
      </c>
      <c r="G22" s="3" t="s">
        <v>180</v>
      </c>
    </row>
    <row r="23" spans="1:8" x14ac:dyDescent="0.25">
      <c r="A23" s="2">
        <f>A20+1</f>
        <v>16</v>
      </c>
      <c r="E23" s="858" t="s">
        <v>2017</v>
      </c>
      <c r="F23" s="940">
        <v>0</v>
      </c>
      <c r="G23" s="40" t="str">
        <f>"Line "&amp;A20&amp;""</f>
        <v>Line 15</v>
      </c>
    </row>
    <row r="24" spans="1:8" ht="15" x14ac:dyDescent="0.4">
      <c r="A24" s="2">
        <f t="shared" ref="A24:A30" si="1">A23+1</f>
        <v>17</v>
      </c>
      <c r="E24" s="323" t="s">
        <v>295</v>
      </c>
      <c r="F24" s="941">
        <v>0</v>
      </c>
      <c r="G24" s="40" t="str">
        <f>"Line "&amp;A10&amp;""</f>
        <v>Line 5</v>
      </c>
    </row>
    <row r="25" spans="1:8" x14ac:dyDescent="0.25">
      <c r="A25" s="2">
        <f t="shared" si="1"/>
        <v>18</v>
      </c>
      <c r="E25" s="323" t="s">
        <v>1378</v>
      </c>
      <c r="F25" s="940">
        <v>0</v>
      </c>
      <c r="G25" s="40" t="str">
        <f>"Line "&amp;A23&amp;" - Line "&amp;A24&amp;""</f>
        <v>Line 16 - Line 17</v>
      </c>
    </row>
    <row r="26" spans="1:8" x14ac:dyDescent="0.25">
      <c r="A26" s="2">
        <f t="shared" si="1"/>
        <v>19</v>
      </c>
      <c r="E26" s="72" t="s">
        <v>133</v>
      </c>
      <c r="F26" s="927" t="s">
        <v>2193</v>
      </c>
      <c r="G26" s="40" t="str">
        <f>"27-Allocators, Line "&amp;'27-Allocators'!A15&amp;""</f>
        <v>27-Allocators, Line 9</v>
      </c>
    </row>
    <row r="27" spans="1:8" x14ac:dyDescent="0.25">
      <c r="A27" s="2">
        <f t="shared" si="1"/>
        <v>20</v>
      </c>
      <c r="E27" s="323" t="s">
        <v>1379</v>
      </c>
      <c r="F27" s="940">
        <v>0</v>
      </c>
      <c r="G27" s="40" t="str">
        <f>"Line "&amp;A25&amp;" * Line "&amp;A26&amp;""</f>
        <v>Line 18 * Line 19</v>
      </c>
    </row>
    <row r="28" spans="1:8" x14ac:dyDescent="0.25">
      <c r="A28" s="2">
        <f t="shared" si="1"/>
        <v>21</v>
      </c>
      <c r="E28" s="323" t="s">
        <v>95</v>
      </c>
      <c r="F28" s="927" t="s">
        <v>2193</v>
      </c>
      <c r="G28" s="96" t="str">
        <f>"27-Allocators, Line "&amp;'27-Allocators'!A28&amp;""</f>
        <v>27-Allocators, Line 22</v>
      </c>
    </row>
    <row r="29" spans="1:8" ht="15" x14ac:dyDescent="0.4">
      <c r="A29" s="2">
        <f t="shared" si="1"/>
        <v>22</v>
      </c>
      <c r="E29" s="323" t="s">
        <v>296</v>
      </c>
      <c r="F29" s="941">
        <v>0</v>
      </c>
      <c r="G29" s="40" t="str">
        <f>"Line "&amp;A10&amp;" Col 4 * Line "&amp;A28&amp;""</f>
        <v>Line 5 Col 4 * Line 21</v>
      </c>
    </row>
    <row r="30" spans="1:8" x14ac:dyDescent="0.25">
      <c r="A30" s="2">
        <f t="shared" si="1"/>
        <v>23</v>
      </c>
      <c r="E30" s="323" t="s">
        <v>297</v>
      </c>
      <c r="F30" s="940">
        <v>0</v>
      </c>
      <c r="G30" s="40" t="str">
        <f>"Line "&amp;A27&amp;" + Line "&amp;A29&amp;""</f>
        <v>Line 20 + Line 22</v>
      </c>
    </row>
    <row r="31" spans="1:8" x14ac:dyDescent="0.25">
      <c r="E31" s="13"/>
      <c r="F31" s="13"/>
      <c r="G31" s="13"/>
    </row>
    <row r="32" spans="1:8" x14ac:dyDescent="0.25">
      <c r="B32" s="1" t="s">
        <v>489</v>
      </c>
      <c r="E32" s="318" t="s">
        <v>363</v>
      </c>
      <c r="F32" s="318" t="s">
        <v>347</v>
      </c>
      <c r="G32" s="318" t="s">
        <v>348</v>
      </c>
      <c r="H32" s="76" t="s">
        <v>349</v>
      </c>
    </row>
    <row r="33" spans="1:11" x14ac:dyDescent="0.25">
      <c r="B33" s="1"/>
      <c r="E33" s="94" t="s">
        <v>484</v>
      </c>
      <c r="F33" s="318"/>
      <c r="G33" s="318"/>
      <c r="H33" s="76"/>
    </row>
    <row r="34" spans="1:11" x14ac:dyDescent="0.25">
      <c r="E34" s="94" t="s">
        <v>549</v>
      </c>
      <c r="F34" s="13"/>
      <c r="G34" s="13"/>
    </row>
    <row r="35" spans="1:11" x14ac:dyDescent="0.25">
      <c r="D35" s="2" t="s">
        <v>483</v>
      </c>
      <c r="E35" s="94" t="s">
        <v>548</v>
      </c>
      <c r="F35" s="94" t="s">
        <v>485</v>
      </c>
      <c r="G35" s="94"/>
      <c r="H35" s="2"/>
    </row>
    <row r="36" spans="1:11" x14ac:dyDescent="0.25">
      <c r="C36" s="3" t="s">
        <v>116</v>
      </c>
      <c r="D36" s="76" t="s">
        <v>1102</v>
      </c>
      <c r="E36" s="104" t="s">
        <v>1280</v>
      </c>
      <c r="F36" s="104" t="s">
        <v>486</v>
      </c>
      <c r="G36" s="104" t="s">
        <v>2018</v>
      </c>
      <c r="H36" s="3" t="s">
        <v>487</v>
      </c>
      <c r="I36" s="3" t="s">
        <v>169</v>
      </c>
    </row>
    <row r="37" spans="1:11" x14ac:dyDescent="0.25">
      <c r="A37" s="2">
        <f>A30+1</f>
        <v>24</v>
      </c>
      <c r="C37" s="54">
        <v>920</v>
      </c>
      <c r="D37" s="940">
        <v>0</v>
      </c>
      <c r="E37" s="932">
        <v>0</v>
      </c>
      <c r="F37" s="932">
        <v>0</v>
      </c>
      <c r="G37" s="940">
        <v>0</v>
      </c>
      <c r="H37" s="932">
        <v>0</v>
      </c>
      <c r="I37" s="442" t="s">
        <v>1779</v>
      </c>
      <c r="J37" s="13"/>
    </row>
    <row r="38" spans="1:11" x14ac:dyDescent="0.25">
      <c r="A38" s="2">
        <f>A37+1</f>
        <v>25</v>
      </c>
      <c r="C38" s="54">
        <v>921</v>
      </c>
      <c r="D38" s="940">
        <v>0</v>
      </c>
      <c r="E38" s="932">
        <v>0</v>
      </c>
      <c r="F38" s="932">
        <v>0</v>
      </c>
      <c r="G38" s="932">
        <v>0</v>
      </c>
      <c r="H38" s="932">
        <v>0</v>
      </c>
      <c r="I38" s="15"/>
    </row>
    <row r="39" spans="1:11" x14ac:dyDescent="0.25">
      <c r="A39" s="2">
        <f t="shared" ref="A39:A50" si="2">A38+1</f>
        <v>26</v>
      </c>
      <c r="C39" s="54">
        <v>922</v>
      </c>
      <c r="D39" s="940">
        <v>0</v>
      </c>
      <c r="E39" s="932">
        <v>0</v>
      </c>
      <c r="F39" s="932">
        <v>0</v>
      </c>
      <c r="G39" s="932">
        <v>0</v>
      </c>
      <c r="H39" s="932">
        <v>0</v>
      </c>
      <c r="I39" s="15"/>
    </row>
    <row r="40" spans="1:11" x14ac:dyDescent="0.25">
      <c r="A40" s="2">
        <f t="shared" si="2"/>
        <v>27</v>
      </c>
      <c r="C40" s="54">
        <v>923</v>
      </c>
      <c r="D40" s="940">
        <v>0</v>
      </c>
      <c r="E40" s="932">
        <v>0</v>
      </c>
      <c r="F40" s="932">
        <v>0</v>
      </c>
      <c r="G40" s="932">
        <v>0</v>
      </c>
      <c r="H40" s="932">
        <v>0</v>
      </c>
      <c r="I40" s="15"/>
      <c r="J40" s="3"/>
      <c r="K40" s="3"/>
    </row>
    <row r="41" spans="1:11" x14ac:dyDescent="0.25">
      <c r="A41" s="2">
        <f t="shared" si="2"/>
        <v>28</v>
      </c>
      <c r="C41" s="54">
        <v>924</v>
      </c>
      <c r="D41" s="940">
        <v>0</v>
      </c>
      <c r="E41" s="932">
        <v>0</v>
      </c>
      <c r="F41" s="932">
        <v>0</v>
      </c>
      <c r="G41" s="932">
        <v>0</v>
      </c>
      <c r="H41" s="932">
        <v>0</v>
      </c>
      <c r="I41" s="15"/>
      <c r="K41" s="6"/>
    </row>
    <row r="42" spans="1:11" x14ac:dyDescent="0.25">
      <c r="A42" s="2">
        <f t="shared" si="2"/>
        <v>29</v>
      </c>
      <c r="C42" s="54">
        <v>925</v>
      </c>
      <c r="D42" s="940">
        <v>0</v>
      </c>
      <c r="E42" s="932">
        <v>0</v>
      </c>
      <c r="F42" s="932">
        <v>0</v>
      </c>
      <c r="G42" s="932">
        <v>0</v>
      </c>
      <c r="H42" s="932">
        <v>0</v>
      </c>
      <c r="I42" s="12"/>
      <c r="K42" s="6"/>
    </row>
    <row r="43" spans="1:11" x14ac:dyDescent="0.25">
      <c r="A43" s="2">
        <f t="shared" si="2"/>
        <v>30</v>
      </c>
      <c r="C43" s="54">
        <v>926</v>
      </c>
      <c r="D43" s="940">
        <v>0</v>
      </c>
      <c r="E43" s="932">
        <v>0</v>
      </c>
      <c r="F43" s="932">
        <v>0</v>
      </c>
      <c r="G43" s="932">
        <v>0</v>
      </c>
      <c r="H43" s="940">
        <v>0</v>
      </c>
      <c r="I43" s="12" t="s">
        <v>284</v>
      </c>
      <c r="K43" s="6"/>
    </row>
    <row r="44" spans="1:11" x14ac:dyDescent="0.25">
      <c r="A44" s="2">
        <f t="shared" si="2"/>
        <v>31</v>
      </c>
      <c r="C44" s="54">
        <v>927</v>
      </c>
      <c r="D44" s="940">
        <v>0</v>
      </c>
      <c r="E44" s="940">
        <v>0</v>
      </c>
      <c r="F44" s="940">
        <v>0</v>
      </c>
      <c r="G44" s="940">
        <v>0</v>
      </c>
      <c r="H44" s="940">
        <v>0</v>
      </c>
      <c r="I44" s="15" t="s">
        <v>957</v>
      </c>
      <c r="K44" s="6"/>
    </row>
    <row r="45" spans="1:11" x14ac:dyDescent="0.25">
      <c r="A45" s="2">
        <f t="shared" si="2"/>
        <v>32</v>
      </c>
      <c r="C45" s="54">
        <v>928</v>
      </c>
      <c r="D45" s="940">
        <v>0</v>
      </c>
      <c r="E45" s="932">
        <v>0</v>
      </c>
      <c r="F45" s="932">
        <v>0</v>
      </c>
      <c r="G45" s="932">
        <v>0</v>
      </c>
      <c r="H45" s="932">
        <v>0</v>
      </c>
      <c r="I45" s="15"/>
      <c r="K45" s="6"/>
    </row>
    <row r="46" spans="1:11" x14ac:dyDescent="0.25">
      <c r="A46" s="2">
        <f t="shared" si="2"/>
        <v>33</v>
      </c>
      <c r="C46" s="54">
        <v>929</v>
      </c>
      <c r="D46" s="940">
        <v>0</v>
      </c>
      <c r="E46" s="932">
        <v>0</v>
      </c>
      <c r="F46" s="932">
        <v>0</v>
      </c>
      <c r="G46" s="932">
        <v>0</v>
      </c>
      <c r="H46" s="932">
        <v>0</v>
      </c>
      <c r="I46" s="15"/>
      <c r="K46" s="6"/>
    </row>
    <row r="47" spans="1:11" x14ac:dyDescent="0.25">
      <c r="A47" s="2">
        <f t="shared" si="2"/>
        <v>34</v>
      </c>
      <c r="C47" s="54">
        <v>930.1</v>
      </c>
      <c r="D47" s="940">
        <v>0</v>
      </c>
      <c r="E47" s="932">
        <v>0</v>
      </c>
      <c r="F47" s="932">
        <v>0</v>
      </c>
      <c r="G47" s="932">
        <v>0</v>
      </c>
      <c r="H47" s="932">
        <v>0</v>
      </c>
      <c r="I47" s="15"/>
      <c r="K47" s="6"/>
    </row>
    <row r="48" spans="1:11" x14ac:dyDescent="0.25">
      <c r="A48" s="2">
        <f t="shared" si="2"/>
        <v>35</v>
      </c>
      <c r="C48" s="54">
        <v>930.2</v>
      </c>
      <c r="D48" s="940">
        <v>0</v>
      </c>
      <c r="E48" s="932">
        <v>0</v>
      </c>
      <c r="F48" s="932">
        <v>0</v>
      </c>
      <c r="G48" s="932">
        <v>0</v>
      </c>
      <c r="H48" s="932">
        <v>0</v>
      </c>
      <c r="I48" s="15"/>
      <c r="J48" s="450"/>
    </row>
    <row r="49" spans="1:10" x14ac:dyDescent="0.25">
      <c r="A49" s="2">
        <f t="shared" si="2"/>
        <v>36</v>
      </c>
      <c r="C49" s="54">
        <v>931</v>
      </c>
      <c r="D49" s="940">
        <v>0</v>
      </c>
      <c r="E49" s="932">
        <v>0</v>
      </c>
      <c r="F49" s="932">
        <v>0</v>
      </c>
      <c r="G49" s="932">
        <v>0</v>
      </c>
      <c r="H49" s="932">
        <v>0</v>
      </c>
      <c r="I49" s="15"/>
      <c r="J49" s="6"/>
    </row>
    <row r="50" spans="1:10" x14ac:dyDescent="0.25">
      <c r="A50" s="2">
        <f t="shared" si="2"/>
        <v>37</v>
      </c>
      <c r="C50" s="54">
        <v>935</v>
      </c>
      <c r="D50" s="940">
        <v>0</v>
      </c>
      <c r="E50" s="932">
        <v>0</v>
      </c>
      <c r="F50" s="932">
        <v>0</v>
      </c>
      <c r="G50" s="932">
        <v>0</v>
      </c>
      <c r="H50" s="932">
        <v>0</v>
      </c>
      <c r="I50" s="15"/>
    </row>
    <row r="51" spans="1:10" x14ac:dyDescent="0.25">
      <c r="B51" s="1" t="s">
        <v>2019</v>
      </c>
      <c r="C51" s="13"/>
      <c r="D51" s="13"/>
      <c r="E51" s="13"/>
      <c r="F51" s="13"/>
      <c r="G51" s="13"/>
      <c r="H51" s="13"/>
    </row>
    <row r="52" spans="1:10" x14ac:dyDescent="0.25">
      <c r="B52" s="1"/>
      <c r="C52" s="445" t="s">
        <v>2020</v>
      </c>
      <c r="D52" s="13"/>
      <c r="E52" s="13"/>
      <c r="F52" s="13"/>
      <c r="G52" s="94"/>
      <c r="H52" s="94"/>
    </row>
    <row r="53" spans="1:10" x14ac:dyDescent="0.25">
      <c r="B53" s="1"/>
      <c r="C53" s="587" t="s">
        <v>2651</v>
      </c>
      <c r="D53" s="570"/>
      <c r="E53" s="570"/>
      <c r="F53" s="13"/>
      <c r="G53" s="94"/>
      <c r="H53" s="94"/>
    </row>
    <row r="54" spans="1:10" x14ac:dyDescent="0.25">
      <c r="B54" s="1"/>
      <c r="G54" s="3" t="s">
        <v>176</v>
      </c>
      <c r="H54" s="3" t="s">
        <v>180</v>
      </c>
    </row>
    <row r="55" spans="1:10" x14ac:dyDescent="0.25">
      <c r="A55" s="2"/>
      <c r="B55" s="547" t="s">
        <v>1691</v>
      </c>
      <c r="E55" s="13"/>
      <c r="F55" s="858" t="s">
        <v>2021</v>
      </c>
      <c r="G55" s="932">
        <v>0</v>
      </c>
      <c r="H55" s="442" t="s">
        <v>33</v>
      </c>
    </row>
    <row r="56" spans="1:10" ht="15" x14ac:dyDescent="0.4">
      <c r="A56" s="2"/>
      <c r="B56" s="547" t="s">
        <v>1692</v>
      </c>
      <c r="C56" s="11"/>
      <c r="E56" s="13"/>
      <c r="F56" s="858" t="s">
        <v>2022</v>
      </c>
      <c r="G56" s="941">
        <v>0</v>
      </c>
      <c r="H56" s="447" t="str">
        <f>"Note 2, "&amp;B60&amp;""</f>
        <v>Note 2, d</v>
      </c>
    </row>
    <row r="57" spans="1:10" x14ac:dyDescent="0.25">
      <c r="A57" s="2"/>
      <c r="B57" s="547" t="s">
        <v>1693</v>
      </c>
      <c r="E57" s="13"/>
      <c r="F57" s="858" t="s">
        <v>1697</v>
      </c>
      <c r="G57" s="940">
        <v>0</v>
      </c>
    </row>
    <row r="58" spans="1:10" x14ac:dyDescent="0.25">
      <c r="A58" s="2"/>
      <c r="C58" s="587" t="s">
        <v>2192</v>
      </c>
      <c r="D58" s="570"/>
      <c r="E58" s="570"/>
      <c r="F58" s="13"/>
      <c r="G58" s="6"/>
    </row>
    <row r="59" spans="1:10" x14ac:dyDescent="0.25">
      <c r="A59" s="2"/>
      <c r="C59" s="13"/>
      <c r="D59" s="844" t="s">
        <v>1380</v>
      </c>
      <c r="E59" s="3" t="s">
        <v>176</v>
      </c>
      <c r="F59" s="55" t="s">
        <v>180</v>
      </c>
      <c r="G59" s="6"/>
    </row>
    <row r="60" spans="1:10" x14ac:dyDescent="0.25">
      <c r="A60" s="2"/>
      <c r="B60" s="547" t="s">
        <v>1694</v>
      </c>
      <c r="C60" s="13"/>
      <c r="D60" s="13" t="s">
        <v>1381</v>
      </c>
      <c r="E60" s="932">
        <v>0</v>
      </c>
      <c r="F60" s="442" t="s">
        <v>2016</v>
      </c>
      <c r="G60" s="56"/>
      <c r="I60" s="13"/>
    </row>
    <row r="61" spans="1:10" x14ac:dyDescent="0.25">
      <c r="A61" s="2"/>
      <c r="B61" s="547" t="s">
        <v>1695</v>
      </c>
      <c r="C61" s="13"/>
      <c r="D61" s="445" t="s">
        <v>361</v>
      </c>
      <c r="E61" s="932">
        <v>0</v>
      </c>
      <c r="F61" s="442" t="s">
        <v>2016</v>
      </c>
      <c r="G61" s="56"/>
      <c r="I61" s="575"/>
    </row>
    <row r="62" spans="1:10" ht="15" x14ac:dyDescent="0.4">
      <c r="A62" s="2"/>
      <c r="B62" s="547" t="s">
        <v>1696</v>
      </c>
      <c r="C62" s="13"/>
      <c r="D62" s="445" t="s">
        <v>1382</v>
      </c>
      <c r="E62" s="933">
        <v>0</v>
      </c>
      <c r="F62" s="442" t="s">
        <v>2016</v>
      </c>
      <c r="G62" s="56"/>
      <c r="I62" s="56"/>
    </row>
    <row r="63" spans="1:10" x14ac:dyDescent="0.25">
      <c r="A63" s="2"/>
      <c r="B63" s="94" t="s">
        <v>1698</v>
      </c>
      <c r="C63" s="13"/>
      <c r="D63" s="323" t="s">
        <v>4</v>
      </c>
      <c r="E63" s="940">
        <v>0</v>
      </c>
      <c r="F63" s="40" t="str">
        <f>"Sum of "&amp;B60&amp;" to "&amp;B62&amp;""</f>
        <v>Sum of d to f</v>
      </c>
      <c r="G63" s="56"/>
      <c r="I63" s="13"/>
    </row>
    <row r="65" spans="1:11" x14ac:dyDescent="0.25">
      <c r="B65" s="1" t="s">
        <v>491</v>
      </c>
    </row>
    <row r="66" spans="1:11" x14ac:dyDescent="0.25">
      <c r="E66" s="3" t="s">
        <v>176</v>
      </c>
      <c r="F66" s="44" t="s">
        <v>239</v>
      </c>
    </row>
    <row r="67" spans="1:11" ht="15" customHeight="1" x14ac:dyDescent="0.25">
      <c r="A67" s="2"/>
      <c r="B67" s="547" t="s">
        <v>1691</v>
      </c>
      <c r="D67" s="441" t="s">
        <v>1986</v>
      </c>
      <c r="E67" s="1050">
        <v>40171333</v>
      </c>
      <c r="F67" s="447" t="s">
        <v>493</v>
      </c>
    </row>
    <row r="68" spans="1:11" ht="15" customHeight="1" x14ac:dyDescent="0.4">
      <c r="A68" s="547"/>
      <c r="B68" s="547" t="s">
        <v>1692</v>
      </c>
      <c r="D68" s="441" t="s">
        <v>2484</v>
      </c>
      <c r="E68" s="933">
        <v>0</v>
      </c>
      <c r="F68" s="447" t="s">
        <v>2485</v>
      </c>
    </row>
    <row r="69" spans="1:11" ht="15" customHeight="1" x14ac:dyDescent="0.4">
      <c r="A69" s="2"/>
      <c r="B69" s="547" t="s">
        <v>1693</v>
      </c>
      <c r="D69" s="83" t="s">
        <v>488</v>
      </c>
      <c r="E69" s="933">
        <v>0</v>
      </c>
      <c r="F69" s="442" t="s">
        <v>33</v>
      </c>
    </row>
    <row r="70" spans="1:11" x14ac:dyDescent="0.25">
      <c r="A70" s="2"/>
      <c r="B70" s="547" t="s">
        <v>1694</v>
      </c>
      <c r="D70" s="83" t="s">
        <v>490</v>
      </c>
      <c r="E70" s="940">
        <v>0</v>
      </c>
      <c r="F70" s="12" t="str">
        <f>""&amp;B69&amp;" - "&amp;B68&amp;""</f>
        <v>c - b</v>
      </c>
    </row>
    <row r="71" spans="1:11" x14ac:dyDescent="0.25">
      <c r="A71" s="437"/>
      <c r="B71" s="1" t="s">
        <v>1455</v>
      </c>
      <c r="D71" s="83"/>
      <c r="E71" s="122"/>
      <c r="F71" s="12"/>
    </row>
    <row r="72" spans="1:11" x14ac:dyDescent="0.25">
      <c r="A72" s="437"/>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83"/>
      <c r="E72" s="122"/>
      <c r="F72" s="12"/>
    </row>
    <row r="73" spans="1:11" x14ac:dyDescent="0.25">
      <c r="A73" s="437"/>
      <c r="B73" s="1"/>
      <c r="C73" s="11" t="s">
        <v>1456</v>
      </c>
      <c r="D73" s="83"/>
      <c r="E73" s="122"/>
      <c r="F73" s="12"/>
    </row>
    <row r="75" spans="1:11" x14ac:dyDescent="0.25">
      <c r="B75" s="1" t="s">
        <v>382</v>
      </c>
    </row>
    <row r="76" spans="1:11" x14ac:dyDescent="0.25">
      <c r="C76" s="11" t="str">
        <f>"1) Enter amounts of A&amp;G expenses from FERC Form 1 in Lines "&amp;A6&amp;" to "&amp;A19&amp;"."</f>
        <v>1) Enter amounts of A&amp;G expenses from FERC Form 1 in Lines 1 to 14.</v>
      </c>
    </row>
    <row r="77" spans="1:11" x14ac:dyDescent="0.25">
      <c r="C77" s="443" t="s">
        <v>2023</v>
      </c>
      <c r="E77" s="13"/>
      <c r="G77" t="str">
        <f>"Column 3, Line "&amp;A37&amp;""</f>
        <v>Column 3, Line 24</v>
      </c>
    </row>
    <row r="78" spans="1:11" x14ac:dyDescent="0.25">
      <c r="C78" s="447" t="str">
        <f>"is calculated in Note 2.  The PBOPs exclusion in Column 4, Line "&amp;A43&amp;" is calculated in Note 3."</f>
        <v>is calculated in Note 2.  The PBOPs exclusion in Column 4, Line 30 is calculated in Note 3.</v>
      </c>
      <c r="G78" s="11"/>
    </row>
    <row r="79" spans="1:11" x14ac:dyDescent="0.25">
      <c r="C79" s="447" t="s">
        <v>1682</v>
      </c>
    </row>
    <row r="80" spans="1:11" x14ac:dyDescent="0.25">
      <c r="C80" s="442" t="s">
        <v>1766</v>
      </c>
      <c r="D80" s="323"/>
      <c r="E80" s="438"/>
      <c r="F80" s="40"/>
      <c r="G80" s="13"/>
      <c r="H80" s="13"/>
      <c r="I80" s="13"/>
      <c r="J80" s="13"/>
      <c r="K80" s="13"/>
    </row>
    <row r="81" spans="3:11" x14ac:dyDescent="0.25">
      <c r="C81" s="442" t="s">
        <v>1762</v>
      </c>
      <c r="D81" s="323"/>
      <c r="E81" s="438"/>
      <c r="F81" s="40"/>
      <c r="G81" s="13"/>
      <c r="H81" s="13"/>
      <c r="I81" s="13"/>
      <c r="J81" s="13"/>
      <c r="K81" s="13"/>
    </row>
    <row r="82" spans="3:11" x14ac:dyDescent="0.25">
      <c r="C82" s="442" t="s">
        <v>1763</v>
      </c>
      <c r="D82" s="13"/>
      <c r="E82" s="13"/>
      <c r="F82" s="13"/>
      <c r="G82" s="13"/>
      <c r="H82" s="13"/>
      <c r="I82" s="13"/>
      <c r="J82" s="13"/>
      <c r="K82" s="13"/>
    </row>
    <row r="83" spans="3:11" x14ac:dyDescent="0.25">
      <c r="C83" s="40" t="s">
        <v>492</v>
      </c>
      <c r="D83" s="13"/>
      <c r="E83" s="13"/>
      <c r="F83" s="13"/>
      <c r="G83" s="13"/>
      <c r="H83" s="13"/>
      <c r="I83" s="13"/>
      <c r="J83" s="13"/>
      <c r="K83" s="13"/>
    </row>
    <row r="84" spans="3:11" x14ac:dyDescent="0.25">
      <c r="C84" s="442" t="s">
        <v>1764</v>
      </c>
      <c r="D84" s="13"/>
      <c r="E84" s="13"/>
      <c r="F84" s="13"/>
      <c r="G84" s="13"/>
      <c r="H84" s="13"/>
      <c r="I84" s="13"/>
      <c r="J84" s="13"/>
      <c r="K84" s="13"/>
    </row>
    <row r="85" spans="3:11" x14ac:dyDescent="0.25">
      <c r="C85" s="442" t="s">
        <v>1464</v>
      </c>
      <c r="D85" s="13"/>
      <c r="E85" s="13"/>
      <c r="F85" s="13"/>
      <c r="G85" s="13"/>
      <c r="H85" s="13"/>
      <c r="I85" s="13"/>
      <c r="J85" s="13"/>
      <c r="K85" s="13"/>
    </row>
    <row r="86" spans="3:11" x14ac:dyDescent="0.25">
      <c r="C86" s="442" t="s">
        <v>1765</v>
      </c>
      <c r="D86" s="13"/>
      <c r="E86" s="13"/>
      <c r="F86" s="13"/>
      <c r="G86" s="13"/>
      <c r="H86" s="13"/>
      <c r="I86" s="13"/>
      <c r="J86" s="13"/>
      <c r="K86" s="13"/>
    </row>
    <row r="87" spans="3:11" x14ac:dyDescent="0.25">
      <c r="C87" s="442" t="s">
        <v>1787</v>
      </c>
      <c r="D87" s="445"/>
      <c r="E87" s="912"/>
      <c r="F87" s="912"/>
      <c r="G87" s="912"/>
      <c r="H87" s="13"/>
      <c r="I87" s="13"/>
      <c r="J87" s="13"/>
      <c r="K87" s="13"/>
    </row>
    <row r="88" spans="3:11" x14ac:dyDescent="0.25">
      <c r="C88" s="880" t="s">
        <v>1785</v>
      </c>
      <c r="D88" s="445"/>
      <c r="E88" s="912"/>
      <c r="F88" s="912"/>
      <c r="G88" s="912"/>
      <c r="H88" s="13"/>
      <c r="I88" s="13"/>
      <c r="J88" s="13"/>
      <c r="K88" s="13"/>
    </row>
    <row r="89" spans="3:11" x14ac:dyDescent="0.25">
      <c r="C89" s="880" t="s">
        <v>1786</v>
      </c>
      <c r="D89" s="445"/>
      <c r="E89" s="912"/>
      <c r="F89" s="912"/>
      <c r="G89" s="912"/>
      <c r="H89" s="13"/>
      <c r="I89" s="13"/>
      <c r="J89" s="13"/>
      <c r="K89" s="13"/>
    </row>
    <row r="90" spans="3:11" x14ac:dyDescent="0.25">
      <c r="C90" s="880" t="s">
        <v>1788</v>
      </c>
      <c r="D90" s="445"/>
      <c r="E90" s="912"/>
      <c r="F90" s="912"/>
      <c r="G90" s="912"/>
      <c r="H90" s="13"/>
      <c r="I90" s="13"/>
      <c r="J90" s="13"/>
      <c r="K90" s="13"/>
    </row>
    <row r="91" spans="3:11" x14ac:dyDescent="0.25">
      <c r="C91" s="442" t="s">
        <v>1867</v>
      </c>
      <c r="D91" s="445"/>
      <c r="E91" s="912"/>
      <c r="F91" s="912"/>
      <c r="G91" s="912"/>
      <c r="H91" s="13"/>
      <c r="I91" s="13"/>
      <c r="J91" s="13"/>
      <c r="K91" s="13"/>
    </row>
    <row r="92" spans="3:11" x14ac:dyDescent="0.25">
      <c r="C92" s="880" t="s">
        <v>1865</v>
      </c>
      <c r="D92" s="445"/>
      <c r="E92" s="912"/>
      <c r="F92" s="912"/>
      <c r="G92" s="912"/>
      <c r="H92" s="13"/>
      <c r="I92" s="13"/>
      <c r="J92" s="13"/>
      <c r="K92" s="13"/>
    </row>
    <row r="93" spans="3:11" x14ac:dyDescent="0.25">
      <c r="C93" s="880" t="s">
        <v>1866</v>
      </c>
      <c r="D93" s="445"/>
      <c r="E93" s="912"/>
      <c r="F93" s="912"/>
      <c r="G93" s="912"/>
      <c r="H93" s="13"/>
      <c r="I93" s="13"/>
      <c r="J93" s="13"/>
      <c r="K93" s="13"/>
    </row>
    <row r="94" spans="3:11" x14ac:dyDescent="0.25">
      <c r="C94" s="880" t="s">
        <v>2439</v>
      </c>
      <c r="D94" s="445"/>
      <c r="E94" s="912"/>
      <c r="F94" s="912"/>
      <c r="G94" s="912"/>
      <c r="H94" s="13"/>
      <c r="I94" s="13"/>
      <c r="J94" s="13"/>
      <c r="K94" s="13"/>
    </row>
    <row r="95" spans="3:11" x14ac:dyDescent="0.25">
      <c r="C95" s="880" t="s">
        <v>1868</v>
      </c>
      <c r="D95" s="445"/>
      <c r="E95" s="912"/>
      <c r="F95" s="912"/>
      <c r="G95" s="912"/>
      <c r="H95" s="13"/>
      <c r="I95" s="13"/>
      <c r="J95" s="13"/>
      <c r="K95" s="13"/>
    </row>
    <row r="96" spans="3:11" x14ac:dyDescent="0.25">
      <c r="C96" s="913" t="s">
        <v>2024</v>
      </c>
      <c r="D96" s="570"/>
      <c r="E96" s="570"/>
      <c r="F96" s="570"/>
      <c r="G96" s="570"/>
      <c r="H96" s="570"/>
      <c r="I96" s="570"/>
      <c r="J96" s="570"/>
      <c r="K96" s="13"/>
    </row>
    <row r="97" spans="3:11" x14ac:dyDescent="0.25">
      <c r="C97" s="445" t="s">
        <v>2025</v>
      </c>
      <c r="D97" s="13"/>
      <c r="E97" s="13"/>
      <c r="F97" s="13"/>
      <c r="G97" s="13"/>
      <c r="H97" s="13"/>
      <c r="I97" s="13"/>
      <c r="J97" s="13"/>
      <c r="K97" s="13"/>
    </row>
    <row r="98" spans="3:11" x14ac:dyDescent="0.25">
      <c r="C98" s="913" t="s">
        <v>2026</v>
      </c>
      <c r="D98" s="587"/>
      <c r="E98" s="587"/>
      <c r="F98" s="587"/>
      <c r="G98" s="587"/>
      <c r="H98" s="587"/>
      <c r="I98" s="587"/>
      <c r="J98" s="13"/>
      <c r="K98" s="13"/>
    </row>
    <row r="99" spans="3:11" x14ac:dyDescent="0.25">
      <c r="C99" s="14" t="str">
        <f>"4) Determine the PBOPs exclusion.  The authorized amount of PBOPs expense (line "&amp;B67&amp;") may only be revised"</f>
        <v>4) Determine the PBOPs exclusion.  The authorized amount of PBOPs expense (line a) may only be revised</v>
      </c>
      <c r="D99" s="13"/>
      <c r="E99" s="13"/>
      <c r="F99" s="13"/>
      <c r="G99" s="13"/>
      <c r="H99" s="13"/>
      <c r="I99" s="13"/>
      <c r="J99" s="13"/>
      <c r="K99" s="13"/>
    </row>
    <row r="100" spans="3:11" x14ac:dyDescent="0.25">
      <c r="C100" s="14" t="s">
        <v>1101</v>
      </c>
      <c r="D100" s="13"/>
      <c r="E100" s="13"/>
      <c r="F100" s="13"/>
      <c r="G100" s="13"/>
      <c r="H100" s="13"/>
      <c r="I100" s="13"/>
      <c r="J100" s="13"/>
      <c r="K100" s="13"/>
    </row>
    <row r="101" spans="3:11" x14ac:dyDescent="0.25">
      <c r="C101" s="445" t="s">
        <v>2486</v>
      </c>
      <c r="D101" s="13"/>
      <c r="E101" s="13"/>
      <c r="F101" s="13"/>
      <c r="G101" s="13"/>
      <c r="H101" s="13"/>
      <c r="I101" s="13"/>
      <c r="J101" s="13"/>
      <c r="K101" s="13"/>
    </row>
    <row r="102" spans="3:11" x14ac:dyDescent="0.25">
      <c r="C102" s="443" t="s">
        <v>2487</v>
      </c>
      <c r="E102" s="13"/>
      <c r="F102" s="13"/>
      <c r="G102" s="13"/>
      <c r="H102" s="13"/>
      <c r="I102" s="513" t="s">
        <v>2197</v>
      </c>
      <c r="J102" s="86"/>
    </row>
    <row r="103" spans="3:11" x14ac:dyDescent="0.25">
      <c r="C103" s="445" t="s">
        <v>1831</v>
      </c>
      <c r="D103" s="13"/>
      <c r="E103" s="13"/>
      <c r="F103" s="13"/>
      <c r="G103" s="13"/>
      <c r="H103" s="13"/>
      <c r="I103" s="13"/>
    </row>
    <row r="104" spans="3:11" x14ac:dyDescent="0.25">
      <c r="C104" s="13"/>
      <c r="D104" s="13"/>
      <c r="E104" s="13"/>
      <c r="F104" s="13"/>
      <c r="G104" s="13"/>
      <c r="H104" s="13"/>
      <c r="I104" s="13"/>
    </row>
  </sheetData>
  <phoneticPr fontId="9" type="noConversion"/>
  <pageMargins left="0.75" right="0.75" top="1" bottom="1" header="0.5" footer="0.5"/>
  <pageSetup scale="68" orientation="landscape" cellComments="asDisplayed" r:id="rId1"/>
  <headerFooter alignWithMargins="0">
    <oddHeader xml:space="preserve">&amp;C&amp;"Arial,Bold"Schedule 20
Administrative and General Expenses
</oddHeader>
    <oddFooter>&amp;R&amp;A</oddFooter>
  </headerFooter>
  <rowBreaks count="1" manualBreakCount="1">
    <brk id="50" max="9"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27"/>
  <sheetViews>
    <sheetView topLeftCell="F1" zoomScale="75" zoomScaleNormal="75" zoomScalePageLayoutView="80" workbookViewId="0">
      <selection activeCell="F2" sqref="F2"/>
    </sheetView>
  </sheetViews>
  <sheetFormatPr defaultRowHeight="13.2" x14ac:dyDescent="0.25"/>
  <cols>
    <col min="1" max="1" width="6.33203125" style="195" customWidth="1"/>
    <col min="2" max="2" width="8.5546875" style="34" customWidth="1"/>
    <col min="3" max="3" width="9.88671875" style="195" customWidth="1"/>
    <col min="4" max="4" width="51.5546875" style="34" customWidth="1"/>
    <col min="5" max="5" width="16.33203125" style="317" customWidth="1"/>
    <col min="6" max="6" width="16.109375" style="317" customWidth="1"/>
    <col min="7" max="7" width="18.44140625" style="317" bestFit="1" customWidth="1"/>
    <col min="8" max="8" width="15.88671875" style="193" bestFit="1" customWidth="1"/>
    <col min="9" max="9" width="16.88671875" style="193" bestFit="1" customWidth="1"/>
    <col min="10" max="10" width="15.6640625" style="317" customWidth="1"/>
    <col min="11" max="11" width="6.5546875" style="275" customWidth="1"/>
    <col min="12" max="12" width="16.44140625" style="262" customWidth="1"/>
    <col min="13" max="13" width="17.109375" style="185" bestFit="1" customWidth="1"/>
    <col min="14" max="14" width="18.44140625" style="317" bestFit="1" customWidth="1"/>
    <col min="15" max="15" width="8.5546875" style="185" customWidth="1"/>
  </cols>
  <sheetData>
    <row r="1" spans="1:15" x14ac:dyDescent="0.25">
      <c r="A1" s="296"/>
      <c r="B1" s="166" t="s">
        <v>558</v>
      </c>
      <c r="C1" s="167" t="s">
        <v>559</v>
      </c>
      <c r="D1" s="166" t="s">
        <v>560</v>
      </c>
      <c r="E1" s="167" t="s">
        <v>561</v>
      </c>
      <c r="F1" s="166" t="s">
        <v>562</v>
      </c>
      <c r="G1" s="167" t="s">
        <v>563</v>
      </c>
      <c r="H1" s="166" t="s">
        <v>564</v>
      </c>
      <c r="I1" s="167" t="s">
        <v>565</v>
      </c>
      <c r="J1" s="166" t="s">
        <v>566</v>
      </c>
      <c r="K1" s="167" t="s">
        <v>567</v>
      </c>
      <c r="L1" s="166" t="s">
        <v>568</v>
      </c>
      <c r="M1" s="167" t="s">
        <v>569</v>
      </c>
      <c r="N1" s="166" t="s">
        <v>570</v>
      </c>
      <c r="O1" s="167" t="s">
        <v>571</v>
      </c>
    </row>
    <row r="2" spans="1:15" x14ac:dyDescent="0.25">
      <c r="A2" s="293"/>
      <c r="B2" s="294"/>
      <c r="C2" s="294"/>
      <c r="D2" s="294"/>
      <c r="E2" s="295"/>
      <c r="F2" s="295"/>
      <c r="G2" s="1189" t="s">
        <v>572</v>
      </c>
      <c r="H2" s="1190"/>
      <c r="I2" s="1191"/>
      <c r="J2" s="1189" t="s">
        <v>573</v>
      </c>
      <c r="K2" s="1190"/>
      <c r="L2" s="1190"/>
      <c r="M2" s="1191"/>
      <c r="N2" s="278" t="s">
        <v>574</v>
      </c>
      <c r="O2" s="293"/>
    </row>
    <row r="3" spans="1:15" ht="26.4" x14ac:dyDescent="0.25">
      <c r="A3" s="168" t="s">
        <v>332</v>
      </c>
      <c r="B3" s="169" t="s">
        <v>575</v>
      </c>
      <c r="C3" s="170" t="s">
        <v>576</v>
      </c>
      <c r="D3" s="169" t="s">
        <v>577</v>
      </c>
      <c r="E3" s="253" t="s">
        <v>578</v>
      </c>
      <c r="F3" s="254" t="s">
        <v>579</v>
      </c>
      <c r="G3" s="254" t="s">
        <v>197</v>
      </c>
      <c r="H3" s="171" t="s">
        <v>434</v>
      </c>
      <c r="I3" s="171" t="s">
        <v>580</v>
      </c>
      <c r="J3" s="253" t="s">
        <v>197</v>
      </c>
      <c r="K3" s="274" t="s">
        <v>581</v>
      </c>
      <c r="L3" s="256" t="s">
        <v>582</v>
      </c>
      <c r="M3" s="172" t="s">
        <v>299</v>
      </c>
      <c r="N3" s="253" t="s">
        <v>197</v>
      </c>
      <c r="O3" s="172" t="s">
        <v>169</v>
      </c>
    </row>
    <row r="4" spans="1:15" x14ac:dyDescent="0.25">
      <c r="A4" s="173" t="s">
        <v>583</v>
      </c>
      <c r="B4" s="174">
        <v>450</v>
      </c>
      <c r="C4" s="174" t="s">
        <v>584</v>
      </c>
      <c r="D4" s="175" t="s">
        <v>1206</v>
      </c>
      <c r="E4" s="949">
        <v>0</v>
      </c>
      <c r="F4" s="264" t="str">
        <f>$G$2</f>
        <v>Traditional OOR</v>
      </c>
      <c r="G4" s="950">
        <v>0</v>
      </c>
      <c r="H4" s="950">
        <v>0</v>
      </c>
      <c r="I4" s="950">
        <v>0</v>
      </c>
      <c r="J4" s="950">
        <v>0</v>
      </c>
      <c r="K4" s="255"/>
      <c r="L4" s="949">
        <v>0</v>
      </c>
      <c r="M4" s="950">
        <v>0</v>
      </c>
      <c r="N4" s="950">
        <v>0</v>
      </c>
      <c r="O4" s="176">
        <v>1</v>
      </c>
    </row>
    <row r="5" spans="1:15" x14ac:dyDescent="0.25">
      <c r="A5" s="177" t="s">
        <v>585</v>
      </c>
      <c r="B5" s="174">
        <v>450</v>
      </c>
      <c r="C5" s="178" t="s">
        <v>586</v>
      </c>
      <c r="D5" s="175" t="s">
        <v>587</v>
      </c>
      <c r="E5" s="949">
        <v>0</v>
      </c>
      <c r="F5" s="264" t="str">
        <f>$G$2</f>
        <v>Traditional OOR</v>
      </c>
      <c r="G5" s="950">
        <v>0</v>
      </c>
      <c r="H5" s="950">
        <v>0</v>
      </c>
      <c r="I5" s="950">
        <v>0</v>
      </c>
      <c r="J5" s="950">
        <v>0</v>
      </c>
      <c r="K5" s="255"/>
      <c r="L5" s="949">
        <v>0</v>
      </c>
      <c r="M5" s="950">
        <v>0</v>
      </c>
      <c r="N5" s="950">
        <v>0</v>
      </c>
      <c r="O5" s="179">
        <v>1</v>
      </c>
    </row>
    <row r="6" spans="1:15" x14ac:dyDescent="0.25">
      <c r="A6" s="292"/>
      <c r="B6" s="288"/>
      <c r="C6" s="287"/>
      <c r="D6" s="289"/>
      <c r="E6" s="269"/>
      <c r="F6" s="269"/>
      <c r="G6" s="264"/>
      <c r="H6" s="265"/>
      <c r="I6" s="266"/>
      <c r="J6" s="264"/>
      <c r="K6" s="268"/>
      <c r="L6" s="264"/>
      <c r="M6" s="266"/>
      <c r="N6" s="264"/>
      <c r="O6" s="265"/>
    </row>
    <row r="7" spans="1:15" x14ac:dyDescent="0.25">
      <c r="A7" s="292"/>
      <c r="B7" s="288"/>
      <c r="C7" s="287"/>
      <c r="D7" s="289"/>
      <c r="E7" s="269"/>
      <c r="F7" s="269"/>
      <c r="G7" s="264"/>
      <c r="H7" s="265"/>
      <c r="I7" s="266"/>
      <c r="J7" s="264"/>
      <c r="K7" s="268"/>
      <c r="L7" s="264"/>
      <c r="M7" s="266"/>
      <c r="N7" s="264"/>
      <c r="O7" s="265"/>
    </row>
    <row r="8" spans="1:15" x14ac:dyDescent="0.25">
      <c r="A8" s="177">
        <v>2</v>
      </c>
      <c r="B8" s="1200" t="s">
        <v>589</v>
      </c>
      <c r="C8" s="1198"/>
      <c r="D8" s="1199"/>
      <c r="E8" s="950">
        <v>0</v>
      </c>
      <c r="F8" s="281"/>
      <c r="G8" s="950">
        <v>0</v>
      </c>
      <c r="H8" s="950">
        <v>0</v>
      </c>
      <c r="I8" s="950">
        <v>0</v>
      </c>
      <c r="J8" s="950">
        <v>0</v>
      </c>
      <c r="K8" s="281"/>
      <c r="L8" s="950">
        <v>0</v>
      </c>
      <c r="M8" s="950">
        <v>0</v>
      </c>
      <c r="N8" s="950">
        <v>0</v>
      </c>
      <c r="O8" s="179"/>
    </row>
    <row r="9" spans="1:15" ht="12.75" customHeight="1" x14ac:dyDescent="0.25">
      <c r="A9" s="177">
        <v>3</v>
      </c>
      <c r="B9" s="1192" t="s">
        <v>1239</v>
      </c>
      <c r="C9" s="1193"/>
      <c r="D9" s="1194"/>
      <c r="E9" s="949">
        <v>0</v>
      </c>
      <c r="F9" s="272"/>
      <c r="G9" s="259"/>
      <c r="H9" s="272"/>
      <c r="I9" s="272"/>
      <c r="J9" s="259"/>
      <c r="K9" s="272"/>
      <c r="L9" s="259"/>
      <c r="M9" s="259"/>
      <c r="N9" s="259"/>
      <c r="O9" s="165"/>
    </row>
    <row r="10" spans="1:15" x14ac:dyDescent="0.25">
      <c r="A10" s="180"/>
      <c r="B10" s="181"/>
      <c r="C10" s="182"/>
      <c r="D10" s="183"/>
      <c r="E10" s="259"/>
      <c r="F10" s="259"/>
      <c r="G10" s="259"/>
      <c r="H10" s="272"/>
      <c r="I10" s="272"/>
      <c r="J10" s="259"/>
      <c r="K10" s="272"/>
      <c r="L10" s="259"/>
      <c r="M10" s="259"/>
      <c r="N10" s="259"/>
      <c r="O10" s="165"/>
    </row>
    <row r="11" spans="1:15" x14ac:dyDescent="0.25">
      <c r="A11" s="177" t="s">
        <v>590</v>
      </c>
      <c r="B11" s="174">
        <v>451</v>
      </c>
      <c r="C11" s="178" t="s">
        <v>591</v>
      </c>
      <c r="D11" s="175" t="s">
        <v>592</v>
      </c>
      <c r="E11" s="949">
        <v>0</v>
      </c>
      <c r="F11" s="264" t="str">
        <f t="shared" ref="F11:F17" si="0">$G$2</f>
        <v>Traditional OOR</v>
      </c>
      <c r="G11" s="950">
        <v>0</v>
      </c>
      <c r="H11" s="950">
        <v>0</v>
      </c>
      <c r="I11" s="950">
        <v>0</v>
      </c>
      <c r="J11" s="950">
        <v>0</v>
      </c>
      <c r="K11" s="260"/>
      <c r="L11" s="949">
        <v>0</v>
      </c>
      <c r="M11" s="950">
        <v>0</v>
      </c>
      <c r="N11" s="950">
        <v>0</v>
      </c>
      <c r="O11" s="179">
        <v>1</v>
      </c>
    </row>
    <row r="12" spans="1:15" x14ac:dyDescent="0.25">
      <c r="A12" s="177" t="s">
        <v>593</v>
      </c>
      <c r="B12" s="174">
        <v>451</v>
      </c>
      <c r="C12" s="178" t="s">
        <v>594</v>
      </c>
      <c r="D12" s="175" t="s">
        <v>595</v>
      </c>
      <c r="E12" s="949">
        <v>0</v>
      </c>
      <c r="F12" s="264" t="str">
        <f t="shared" si="0"/>
        <v>Traditional OOR</v>
      </c>
      <c r="G12" s="950">
        <v>0</v>
      </c>
      <c r="H12" s="950">
        <v>0</v>
      </c>
      <c r="I12" s="950">
        <v>0</v>
      </c>
      <c r="J12" s="950">
        <v>0</v>
      </c>
      <c r="K12" s="260"/>
      <c r="L12" s="949">
        <v>0</v>
      </c>
      <c r="M12" s="950">
        <v>0</v>
      </c>
      <c r="N12" s="950">
        <v>0</v>
      </c>
      <c r="O12" s="179">
        <v>1</v>
      </c>
    </row>
    <row r="13" spans="1:15" x14ac:dyDescent="0.25">
      <c r="A13" s="177" t="s">
        <v>596</v>
      </c>
      <c r="B13" s="174">
        <v>451</v>
      </c>
      <c r="C13" s="178" t="s">
        <v>597</v>
      </c>
      <c r="D13" s="175" t="s">
        <v>598</v>
      </c>
      <c r="E13" s="949">
        <v>0</v>
      </c>
      <c r="F13" s="264" t="str">
        <f t="shared" si="0"/>
        <v>Traditional OOR</v>
      </c>
      <c r="G13" s="950">
        <v>0</v>
      </c>
      <c r="H13" s="950">
        <v>0</v>
      </c>
      <c r="I13" s="950">
        <v>0</v>
      </c>
      <c r="J13" s="950">
        <v>0</v>
      </c>
      <c r="K13" s="260"/>
      <c r="L13" s="949">
        <v>0</v>
      </c>
      <c r="M13" s="950">
        <v>0</v>
      </c>
      <c r="N13" s="950">
        <v>0</v>
      </c>
      <c r="O13" s="179">
        <v>1</v>
      </c>
    </row>
    <row r="14" spans="1:15" x14ac:dyDescent="0.25">
      <c r="A14" s="177" t="s">
        <v>599</v>
      </c>
      <c r="B14" s="174">
        <v>451</v>
      </c>
      <c r="C14" s="178" t="s">
        <v>600</v>
      </c>
      <c r="D14" s="175" t="s">
        <v>601</v>
      </c>
      <c r="E14" s="949">
        <v>0</v>
      </c>
      <c r="F14" s="264" t="str">
        <f t="shared" si="0"/>
        <v>Traditional OOR</v>
      </c>
      <c r="G14" s="950">
        <v>0</v>
      </c>
      <c r="H14" s="950">
        <v>0</v>
      </c>
      <c r="I14" s="950">
        <v>0</v>
      </c>
      <c r="J14" s="950">
        <v>0</v>
      </c>
      <c r="K14" s="260"/>
      <c r="L14" s="949">
        <v>0</v>
      </c>
      <c r="M14" s="950">
        <v>0</v>
      </c>
      <c r="N14" s="950">
        <v>0</v>
      </c>
      <c r="O14" s="179">
        <v>1</v>
      </c>
    </row>
    <row r="15" spans="1:15" x14ac:dyDescent="0.25">
      <c r="A15" s="177" t="s">
        <v>602</v>
      </c>
      <c r="B15" s="174">
        <v>451</v>
      </c>
      <c r="C15" s="178" t="s">
        <v>603</v>
      </c>
      <c r="D15" s="175" t="s">
        <v>604</v>
      </c>
      <c r="E15" s="949">
        <v>0</v>
      </c>
      <c r="F15" s="264" t="str">
        <f t="shared" si="0"/>
        <v>Traditional OOR</v>
      </c>
      <c r="G15" s="950">
        <v>0</v>
      </c>
      <c r="H15" s="950">
        <v>0</v>
      </c>
      <c r="I15" s="950">
        <v>0</v>
      </c>
      <c r="J15" s="950">
        <v>0</v>
      </c>
      <c r="K15" s="260"/>
      <c r="L15" s="949">
        <v>0</v>
      </c>
      <c r="M15" s="950">
        <v>0</v>
      </c>
      <c r="N15" s="950">
        <v>0</v>
      </c>
      <c r="O15" s="179">
        <v>1</v>
      </c>
    </row>
    <row r="16" spans="1:15" x14ac:dyDescent="0.25">
      <c r="A16" s="177" t="s">
        <v>605</v>
      </c>
      <c r="B16" s="174">
        <v>451</v>
      </c>
      <c r="C16" s="178" t="s">
        <v>606</v>
      </c>
      <c r="D16" s="175" t="s">
        <v>607</v>
      </c>
      <c r="E16" s="949">
        <v>0</v>
      </c>
      <c r="F16" s="264" t="str">
        <f t="shared" si="0"/>
        <v>Traditional OOR</v>
      </c>
      <c r="G16" s="950">
        <v>0</v>
      </c>
      <c r="H16" s="950">
        <v>0</v>
      </c>
      <c r="I16" s="950">
        <v>0</v>
      </c>
      <c r="J16" s="950">
        <v>0</v>
      </c>
      <c r="K16" s="260"/>
      <c r="L16" s="949">
        <v>0</v>
      </c>
      <c r="M16" s="950">
        <v>0</v>
      </c>
      <c r="N16" s="950">
        <v>0</v>
      </c>
      <c r="O16" s="179">
        <v>1</v>
      </c>
    </row>
    <row r="17" spans="1:15" x14ac:dyDescent="0.25">
      <c r="A17" s="177" t="s">
        <v>608</v>
      </c>
      <c r="B17" s="174">
        <v>451</v>
      </c>
      <c r="C17" s="178" t="s">
        <v>609</v>
      </c>
      <c r="D17" s="175" t="s">
        <v>610</v>
      </c>
      <c r="E17" s="949">
        <v>0</v>
      </c>
      <c r="F17" s="264" t="str">
        <f t="shared" si="0"/>
        <v>Traditional OOR</v>
      </c>
      <c r="G17" s="950">
        <v>0</v>
      </c>
      <c r="H17" s="950">
        <v>0</v>
      </c>
      <c r="I17" s="950">
        <v>0</v>
      </c>
      <c r="J17" s="950">
        <v>0</v>
      </c>
      <c r="K17" s="260"/>
      <c r="L17" s="949">
        <v>0</v>
      </c>
      <c r="M17" s="950">
        <v>0</v>
      </c>
      <c r="N17" s="950">
        <v>0</v>
      </c>
      <c r="O17" s="179">
        <v>1</v>
      </c>
    </row>
    <row r="18" spans="1:15" x14ac:dyDescent="0.25">
      <c r="A18" s="177" t="s">
        <v>611</v>
      </c>
      <c r="B18" s="174">
        <v>451</v>
      </c>
      <c r="C18" s="178" t="s">
        <v>612</v>
      </c>
      <c r="D18" s="175" t="s">
        <v>613</v>
      </c>
      <c r="E18" s="949">
        <v>0</v>
      </c>
      <c r="F18" s="264" t="str">
        <f>$J$2</f>
        <v>GRSM</v>
      </c>
      <c r="G18" s="950">
        <v>0</v>
      </c>
      <c r="H18" s="950">
        <v>0</v>
      </c>
      <c r="I18" s="950">
        <v>0</v>
      </c>
      <c r="J18" s="950">
        <v>0</v>
      </c>
      <c r="K18" s="297" t="s">
        <v>614</v>
      </c>
      <c r="L18" s="949">
        <v>0</v>
      </c>
      <c r="M18" s="950">
        <v>0</v>
      </c>
      <c r="N18" s="950">
        <v>0</v>
      </c>
      <c r="O18" s="179">
        <v>2</v>
      </c>
    </row>
    <row r="19" spans="1:15" x14ac:dyDescent="0.25">
      <c r="A19" s="177" t="s">
        <v>615</v>
      </c>
      <c r="B19" s="174">
        <v>451</v>
      </c>
      <c r="C19" s="178" t="s">
        <v>616</v>
      </c>
      <c r="D19" s="175" t="s">
        <v>617</v>
      </c>
      <c r="E19" s="949">
        <v>0</v>
      </c>
      <c r="F19" s="264" t="str">
        <f>$N$2</f>
        <v>Other Ratemaking</v>
      </c>
      <c r="G19" s="950">
        <v>0</v>
      </c>
      <c r="H19" s="950">
        <v>0</v>
      </c>
      <c r="I19" s="950">
        <v>0</v>
      </c>
      <c r="J19" s="950">
        <v>0</v>
      </c>
      <c r="K19" s="260"/>
      <c r="L19" s="949">
        <v>0</v>
      </c>
      <c r="M19" s="950">
        <v>0</v>
      </c>
      <c r="N19" s="950">
        <v>0</v>
      </c>
      <c r="O19" s="179">
        <v>6</v>
      </c>
    </row>
    <row r="20" spans="1:15" x14ac:dyDescent="0.25">
      <c r="A20" s="173" t="s">
        <v>2076</v>
      </c>
      <c r="B20" s="174">
        <v>451</v>
      </c>
      <c r="C20" s="174">
        <v>4182120</v>
      </c>
      <c r="D20" s="190" t="s">
        <v>2077</v>
      </c>
      <c r="E20" s="949">
        <v>0</v>
      </c>
      <c r="F20" s="264" t="s">
        <v>572</v>
      </c>
      <c r="G20" s="950">
        <v>0</v>
      </c>
      <c r="H20" s="950">
        <v>0</v>
      </c>
      <c r="I20" s="950">
        <v>0</v>
      </c>
      <c r="J20" s="950">
        <v>0</v>
      </c>
      <c r="K20" s="260"/>
      <c r="L20" s="949">
        <v>0</v>
      </c>
      <c r="M20" s="950">
        <v>0</v>
      </c>
      <c r="N20" s="950">
        <v>0</v>
      </c>
      <c r="O20" s="176">
        <v>1</v>
      </c>
    </row>
    <row r="21" spans="1:15" x14ac:dyDescent="0.25">
      <c r="A21" s="173" t="s">
        <v>2078</v>
      </c>
      <c r="B21" s="174">
        <v>451</v>
      </c>
      <c r="C21" s="174">
        <v>4192152</v>
      </c>
      <c r="D21" s="190" t="s">
        <v>2079</v>
      </c>
      <c r="E21" s="949">
        <v>0</v>
      </c>
      <c r="F21" s="264" t="s">
        <v>574</v>
      </c>
      <c r="G21" s="950">
        <v>0</v>
      </c>
      <c r="H21" s="950">
        <v>0</v>
      </c>
      <c r="I21" s="950">
        <v>0</v>
      </c>
      <c r="J21" s="950">
        <v>0</v>
      </c>
      <c r="K21" s="260"/>
      <c r="L21" s="949">
        <v>0</v>
      </c>
      <c r="M21" s="950">
        <v>0</v>
      </c>
      <c r="N21" s="950">
        <v>0</v>
      </c>
      <c r="O21" s="176">
        <v>1</v>
      </c>
    </row>
    <row r="22" spans="1:15" x14ac:dyDescent="0.25">
      <c r="A22" s="173" t="s">
        <v>2080</v>
      </c>
      <c r="B22" s="174">
        <v>451</v>
      </c>
      <c r="C22" s="174">
        <v>4192155</v>
      </c>
      <c r="D22" s="190" t="s">
        <v>2081</v>
      </c>
      <c r="E22" s="949">
        <v>0</v>
      </c>
      <c r="F22" s="264" t="s">
        <v>574</v>
      </c>
      <c r="G22" s="950">
        <v>0</v>
      </c>
      <c r="H22" s="950">
        <v>0</v>
      </c>
      <c r="I22" s="950">
        <v>0</v>
      </c>
      <c r="J22" s="950">
        <v>0</v>
      </c>
      <c r="K22" s="260"/>
      <c r="L22" s="949">
        <v>0</v>
      </c>
      <c r="M22" s="950">
        <v>0</v>
      </c>
      <c r="N22" s="950">
        <v>0</v>
      </c>
      <c r="O22" s="176">
        <v>1</v>
      </c>
    </row>
    <row r="23" spans="1:15" x14ac:dyDescent="0.25">
      <c r="A23" s="173" t="s">
        <v>2082</v>
      </c>
      <c r="B23" s="174">
        <v>451</v>
      </c>
      <c r="C23" s="174">
        <v>4192158</v>
      </c>
      <c r="D23" s="190" t="s">
        <v>2083</v>
      </c>
      <c r="E23" s="949">
        <v>0</v>
      </c>
      <c r="F23" s="264" t="s">
        <v>574</v>
      </c>
      <c r="G23" s="950">
        <v>0</v>
      </c>
      <c r="H23" s="950">
        <v>0</v>
      </c>
      <c r="I23" s="950">
        <v>0</v>
      </c>
      <c r="J23" s="950">
        <v>0</v>
      </c>
      <c r="K23" s="260"/>
      <c r="L23" s="949">
        <v>0</v>
      </c>
      <c r="M23" s="950">
        <v>0</v>
      </c>
      <c r="N23" s="950">
        <v>0</v>
      </c>
      <c r="O23" s="176">
        <v>1</v>
      </c>
    </row>
    <row r="24" spans="1:15" x14ac:dyDescent="0.25">
      <c r="A24" s="173" t="s">
        <v>2084</v>
      </c>
      <c r="B24" s="174">
        <v>451</v>
      </c>
      <c r="C24" s="174">
        <v>4192160</v>
      </c>
      <c r="D24" s="190" t="s">
        <v>2085</v>
      </c>
      <c r="E24" s="949">
        <v>0</v>
      </c>
      <c r="F24" s="264" t="s">
        <v>574</v>
      </c>
      <c r="G24" s="962">
        <v>0</v>
      </c>
      <c r="H24" s="962">
        <v>0</v>
      </c>
      <c r="I24" s="962">
        <v>0</v>
      </c>
      <c r="J24" s="962">
        <v>0</v>
      </c>
      <c r="K24" s="260"/>
      <c r="L24" s="949">
        <v>0</v>
      </c>
      <c r="M24" s="950">
        <v>0</v>
      </c>
      <c r="N24" s="950">
        <v>0</v>
      </c>
      <c r="O24" s="176">
        <v>1</v>
      </c>
    </row>
    <row r="25" spans="1:15" x14ac:dyDescent="0.25">
      <c r="A25" s="915" t="s">
        <v>2518</v>
      </c>
      <c r="B25" s="1097">
        <v>451</v>
      </c>
      <c r="C25" s="1097">
        <v>4192135</v>
      </c>
      <c r="D25" s="1098" t="s">
        <v>2519</v>
      </c>
      <c r="E25" s="949">
        <v>0</v>
      </c>
      <c r="F25" s="1099" t="s">
        <v>572</v>
      </c>
      <c r="G25" s="962">
        <v>0</v>
      </c>
      <c r="H25" s="962">
        <v>0</v>
      </c>
      <c r="I25" s="962">
        <v>0</v>
      </c>
      <c r="J25" s="962">
        <v>0</v>
      </c>
      <c r="K25" s="260"/>
      <c r="L25" s="949">
        <v>0</v>
      </c>
      <c r="M25" s="950">
        <v>0</v>
      </c>
      <c r="N25" s="950">
        <v>0</v>
      </c>
      <c r="O25" s="176">
        <v>1</v>
      </c>
    </row>
    <row r="26" spans="1:15" x14ac:dyDescent="0.25">
      <c r="A26" s="915" t="s">
        <v>2520</v>
      </c>
      <c r="B26" s="1097">
        <v>451</v>
      </c>
      <c r="C26" s="1097">
        <v>4192145</v>
      </c>
      <c r="D26" s="1098" t="s">
        <v>2521</v>
      </c>
      <c r="E26" s="949">
        <v>0</v>
      </c>
      <c r="F26" s="1099" t="s">
        <v>572</v>
      </c>
      <c r="G26" s="962">
        <v>0</v>
      </c>
      <c r="H26" s="962">
        <v>0</v>
      </c>
      <c r="I26" s="962">
        <v>0</v>
      </c>
      <c r="J26" s="962">
        <v>0</v>
      </c>
      <c r="K26" s="260"/>
      <c r="L26" s="949">
        <v>0</v>
      </c>
      <c r="M26" s="950">
        <v>0</v>
      </c>
      <c r="N26" s="950">
        <v>0</v>
      </c>
      <c r="O26" s="176">
        <v>1</v>
      </c>
    </row>
    <row r="27" spans="1:15" x14ac:dyDescent="0.25">
      <c r="A27" s="915" t="s">
        <v>2522</v>
      </c>
      <c r="B27" s="1097">
        <v>451</v>
      </c>
      <c r="C27" s="1097">
        <v>4192150</v>
      </c>
      <c r="D27" s="1098" t="s">
        <v>2523</v>
      </c>
      <c r="E27" s="949">
        <v>0</v>
      </c>
      <c r="F27" s="1099" t="s">
        <v>572</v>
      </c>
      <c r="G27" s="962">
        <v>0</v>
      </c>
      <c r="H27" s="962">
        <v>0</v>
      </c>
      <c r="I27" s="962">
        <v>0</v>
      </c>
      <c r="J27" s="962">
        <v>0</v>
      </c>
      <c r="K27" s="260"/>
      <c r="L27" s="949">
        <v>0</v>
      </c>
      <c r="M27" s="950">
        <v>0</v>
      </c>
      <c r="N27" s="950">
        <v>0</v>
      </c>
      <c r="O27" s="176">
        <v>1</v>
      </c>
    </row>
    <row r="28" spans="1:15" x14ac:dyDescent="0.25">
      <c r="A28" s="292"/>
      <c r="B28" s="288"/>
      <c r="C28" s="288"/>
      <c r="D28" s="696"/>
      <c r="E28" s="264"/>
      <c r="F28" s="264"/>
      <c r="G28" s="264"/>
      <c r="H28" s="265"/>
      <c r="I28" s="266"/>
      <c r="J28" s="264"/>
      <c r="K28" s="264"/>
      <c r="L28" s="266"/>
      <c r="M28" s="266"/>
      <c r="N28" s="264"/>
      <c r="O28" s="265"/>
    </row>
    <row r="29" spans="1:15" x14ac:dyDescent="0.25">
      <c r="A29" s="292"/>
      <c r="B29" s="288"/>
      <c r="C29" s="287"/>
      <c r="D29" s="696"/>
      <c r="E29" s="264"/>
      <c r="F29" s="264"/>
      <c r="G29" s="268"/>
      <c r="H29" s="265"/>
      <c r="I29" s="266"/>
      <c r="J29" s="264"/>
      <c r="K29" s="264"/>
      <c r="L29" s="266"/>
      <c r="M29" s="266"/>
      <c r="N29" s="264"/>
      <c r="O29" s="265"/>
    </row>
    <row r="30" spans="1:15" x14ac:dyDescent="0.25">
      <c r="A30" s="177">
        <v>5</v>
      </c>
      <c r="B30" s="1200" t="s">
        <v>618</v>
      </c>
      <c r="C30" s="1198"/>
      <c r="D30" s="1199"/>
      <c r="E30" s="950">
        <v>0</v>
      </c>
      <c r="F30" s="281"/>
      <c r="G30" s="950">
        <v>0</v>
      </c>
      <c r="H30" s="950">
        <v>0</v>
      </c>
      <c r="I30" s="950">
        <v>0</v>
      </c>
      <c r="J30" s="950">
        <v>0</v>
      </c>
      <c r="K30" s="281"/>
      <c r="L30" s="950">
        <v>0</v>
      </c>
      <c r="M30" s="950">
        <v>0</v>
      </c>
      <c r="N30" s="950">
        <v>0</v>
      </c>
      <c r="O30" s="179"/>
    </row>
    <row r="31" spans="1:15" ht="25.5" customHeight="1" x14ac:dyDescent="0.25">
      <c r="A31" s="177">
        <v>6</v>
      </c>
      <c r="B31" s="1192" t="s">
        <v>1240</v>
      </c>
      <c r="C31" s="1193"/>
      <c r="D31" s="1194"/>
      <c r="E31" s="949">
        <v>0</v>
      </c>
      <c r="F31" s="272"/>
      <c r="G31" s="259"/>
      <c r="H31" s="184"/>
      <c r="I31" s="184"/>
      <c r="J31" s="259"/>
      <c r="K31" s="272"/>
      <c r="L31" s="259"/>
      <c r="M31" s="259"/>
      <c r="N31" s="259"/>
    </row>
    <row r="32" spans="1:15" x14ac:dyDescent="0.25">
      <c r="A32" s="186"/>
      <c r="B32" s="181"/>
      <c r="C32" s="182"/>
      <c r="D32" s="183"/>
      <c r="E32" s="259"/>
      <c r="F32" s="259"/>
      <c r="G32" s="259"/>
      <c r="H32" s="184"/>
      <c r="I32" s="184"/>
      <c r="J32" s="259"/>
      <c r="K32" s="272"/>
      <c r="L32" s="259"/>
      <c r="M32" s="259"/>
      <c r="N32" s="259"/>
    </row>
    <row r="33" spans="1:15" x14ac:dyDescent="0.25">
      <c r="A33" s="292"/>
      <c r="B33" s="288"/>
      <c r="C33" s="287"/>
      <c r="D33" s="289"/>
      <c r="E33" s="264"/>
      <c r="F33" s="264"/>
      <c r="G33" s="268"/>
      <c r="H33" s="265"/>
      <c r="I33" s="266"/>
      <c r="J33" s="264"/>
      <c r="K33" s="264"/>
      <c r="L33" s="266"/>
      <c r="M33" s="266"/>
      <c r="N33" s="264"/>
      <c r="O33" s="265"/>
    </row>
    <row r="34" spans="1:15" x14ac:dyDescent="0.25">
      <c r="A34" s="292"/>
      <c r="B34" s="288"/>
      <c r="C34" s="287"/>
      <c r="D34" s="289"/>
      <c r="E34" s="264"/>
      <c r="F34" s="264"/>
      <c r="G34" s="268"/>
      <c r="H34" s="265"/>
      <c r="I34" s="266"/>
      <c r="J34" s="264"/>
      <c r="K34" s="264"/>
      <c r="L34" s="266"/>
      <c r="M34" s="266"/>
      <c r="N34" s="264"/>
      <c r="O34" s="265"/>
    </row>
    <row r="35" spans="1:15" x14ac:dyDescent="0.25">
      <c r="A35" s="177">
        <v>8</v>
      </c>
      <c r="B35" s="1200" t="s">
        <v>619</v>
      </c>
      <c r="C35" s="1198"/>
      <c r="D35" s="1199"/>
      <c r="E35" s="950">
        <v>0</v>
      </c>
      <c r="F35" s="281"/>
      <c r="G35" s="950">
        <v>0</v>
      </c>
      <c r="H35" s="950">
        <v>0</v>
      </c>
      <c r="I35" s="950">
        <v>0</v>
      </c>
      <c r="J35" s="950">
        <v>0</v>
      </c>
      <c r="K35" s="281"/>
      <c r="L35" s="950">
        <v>0</v>
      </c>
      <c r="M35" s="950">
        <v>0</v>
      </c>
      <c r="N35" s="950">
        <v>0</v>
      </c>
      <c r="O35" s="167"/>
    </row>
    <row r="36" spans="1:15" ht="25.5" customHeight="1" x14ac:dyDescent="0.25">
      <c r="A36" s="177">
        <v>9</v>
      </c>
      <c r="B36" s="1195" t="s">
        <v>1241</v>
      </c>
      <c r="C36" s="1196"/>
      <c r="D36" s="1196"/>
      <c r="E36" s="949">
        <v>0</v>
      </c>
      <c r="F36" s="272"/>
      <c r="G36" s="259"/>
      <c r="H36" s="184"/>
      <c r="I36" s="188"/>
      <c r="J36" s="259"/>
      <c r="K36" s="272"/>
      <c r="L36" s="259"/>
      <c r="M36" s="259"/>
      <c r="N36" s="259"/>
      <c r="O36" s="165"/>
    </row>
    <row r="37" spans="1:15" x14ac:dyDescent="0.25">
      <c r="A37" s="180"/>
      <c r="B37" s="181"/>
      <c r="C37" s="182"/>
      <c r="D37" s="183"/>
      <c r="E37" s="259"/>
      <c r="F37" s="259"/>
      <c r="G37" s="259"/>
      <c r="H37" s="184"/>
      <c r="I37" s="188"/>
      <c r="J37" s="259"/>
      <c r="K37" s="272"/>
      <c r="L37" s="259"/>
      <c r="M37" s="259"/>
      <c r="N37" s="259"/>
      <c r="O37" s="165"/>
    </row>
    <row r="38" spans="1:15" x14ac:dyDescent="0.25">
      <c r="A38" s="177" t="s">
        <v>620</v>
      </c>
      <c r="B38" s="174">
        <v>454</v>
      </c>
      <c r="C38" s="175" t="s">
        <v>624</v>
      </c>
      <c r="D38" s="175" t="s">
        <v>625</v>
      </c>
      <c r="E38" s="949">
        <v>0</v>
      </c>
      <c r="F38" s="264" t="str">
        <f t="shared" ref="F38:F41" si="1">$G$2</f>
        <v>Traditional OOR</v>
      </c>
      <c r="G38" s="950">
        <v>0</v>
      </c>
      <c r="H38" s="950">
        <v>0</v>
      </c>
      <c r="I38" s="950">
        <v>0</v>
      </c>
      <c r="J38" s="950">
        <v>0</v>
      </c>
      <c r="K38" s="260"/>
      <c r="L38" s="949">
        <v>0</v>
      </c>
      <c r="M38" s="950">
        <v>0</v>
      </c>
      <c r="N38" s="950">
        <v>0</v>
      </c>
      <c r="O38" s="176">
        <v>4</v>
      </c>
    </row>
    <row r="39" spans="1:15" x14ac:dyDescent="0.25">
      <c r="A39" s="177" t="s">
        <v>621</v>
      </c>
      <c r="B39" s="174">
        <v>454</v>
      </c>
      <c r="C39" s="178" t="s">
        <v>627</v>
      </c>
      <c r="D39" s="175" t="s">
        <v>628</v>
      </c>
      <c r="E39" s="949">
        <v>0</v>
      </c>
      <c r="F39" s="264" t="str">
        <f t="shared" si="1"/>
        <v>Traditional OOR</v>
      </c>
      <c r="G39" s="950">
        <v>0</v>
      </c>
      <c r="H39" s="950">
        <v>0</v>
      </c>
      <c r="I39" s="950">
        <v>0</v>
      </c>
      <c r="J39" s="950">
        <v>0</v>
      </c>
      <c r="K39" s="260"/>
      <c r="L39" s="949">
        <v>0</v>
      </c>
      <c r="M39" s="950">
        <v>0</v>
      </c>
      <c r="N39" s="950">
        <v>0</v>
      </c>
      <c r="O39" s="179">
        <v>4</v>
      </c>
    </row>
    <row r="40" spans="1:15" x14ac:dyDescent="0.25">
      <c r="A40" s="177" t="s">
        <v>622</v>
      </c>
      <c r="B40" s="174">
        <v>454</v>
      </c>
      <c r="C40" s="178" t="s">
        <v>630</v>
      </c>
      <c r="D40" s="175" t="s">
        <v>631</v>
      </c>
      <c r="E40" s="949">
        <v>0</v>
      </c>
      <c r="F40" s="264" t="str">
        <f t="shared" si="1"/>
        <v>Traditional OOR</v>
      </c>
      <c r="G40" s="950">
        <v>0</v>
      </c>
      <c r="H40" s="950">
        <v>0</v>
      </c>
      <c r="I40" s="950">
        <v>0</v>
      </c>
      <c r="J40" s="950">
        <v>0</v>
      </c>
      <c r="K40" s="260"/>
      <c r="L40" s="949">
        <v>0</v>
      </c>
      <c r="M40" s="950">
        <v>0</v>
      </c>
      <c r="N40" s="950">
        <v>0</v>
      </c>
      <c r="O40" s="179">
        <v>4</v>
      </c>
    </row>
    <row r="41" spans="1:15" x14ac:dyDescent="0.25">
      <c r="A41" s="1095" t="s">
        <v>623</v>
      </c>
      <c r="B41" s="174">
        <v>454</v>
      </c>
      <c r="C41" s="189">
        <v>4184120</v>
      </c>
      <c r="D41" s="175" t="s">
        <v>1385</v>
      </c>
      <c r="E41" s="949">
        <v>0</v>
      </c>
      <c r="F41" s="264" t="str">
        <f t="shared" si="1"/>
        <v>Traditional OOR</v>
      </c>
      <c r="G41" s="950">
        <v>0</v>
      </c>
      <c r="H41" s="950">
        <v>0</v>
      </c>
      <c r="I41" s="950">
        <v>0</v>
      </c>
      <c r="J41" s="950">
        <v>0</v>
      </c>
      <c r="K41" s="260"/>
      <c r="L41" s="949">
        <v>0</v>
      </c>
      <c r="M41" s="950">
        <v>0</v>
      </c>
      <c r="N41" s="950">
        <v>0</v>
      </c>
      <c r="O41" s="179">
        <v>4</v>
      </c>
    </row>
    <row r="42" spans="1:15" x14ac:dyDescent="0.25">
      <c r="A42" s="1095" t="s">
        <v>626</v>
      </c>
      <c r="B42" s="174">
        <v>454</v>
      </c>
      <c r="C42" s="178" t="s">
        <v>635</v>
      </c>
      <c r="D42" s="175" t="s">
        <v>636</v>
      </c>
      <c r="E42" s="949">
        <v>0</v>
      </c>
      <c r="F42" s="264" t="str">
        <f>$J$2</f>
        <v>GRSM</v>
      </c>
      <c r="G42" s="950">
        <v>0</v>
      </c>
      <c r="H42" s="950">
        <v>0</v>
      </c>
      <c r="I42" s="950">
        <v>0</v>
      </c>
      <c r="J42" s="950">
        <v>0</v>
      </c>
      <c r="K42" s="297" t="s">
        <v>614</v>
      </c>
      <c r="L42" s="949">
        <v>0</v>
      </c>
      <c r="M42" s="950">
        <v>0</v>
      </c>
      <c r="N42" s="950">
        <v>0</v>
      </c>
      <c r="O42" s="179">
        <v>2</v>
      </c>
    </row>
    <row r="43" spans="1:15" x14ac:dyDescent="0.25">
      <c r="A43" s="177" t="s">
        <v>629</v>
      </c>
      <c r="B43" s="174">
        <v>454</v>
      </c>
      <c r="C43" s="178" t="s">
        <v>638</v>
      </c>
      <c r="D43" s="175" t="s">
        <v>639</v>
      </c>
      <c r="E43" s="949">
        <v>0</v>
      </c>
      <c r="F43" s="264" t="str">
        <f>$J$2</f>
        <v>GRSM</v>
      </c>
      <c r="G43" s="950">
        <v>0</v>
      </c>
      <c r="H43" s="950">
        <v>0</v>
      </c>
      <c r="I43" s="950">
        <v>0</v>
      </c>
      <c r="J43" s="950">
        <v>0</v>
      </c>
      <c r="K43" s="297" t="s">
        <v>614</v>
      </c>
      <c r="L43" s="949">
        <v>0</v>
      </c>
      <c r="M43" s="950">
        <v>0</v>
      </c>
      <c r="N43" s="950">
        <v>0</v>
      </c>
      <c r="O43" s="179">
        <v>2</v>
      </c>
    </row>
    <row r="44" spans="1:15" x14ac:dyDescent="0.25">
      <c r="A44" s="177" t="s">
        <v>632</v>
      </c>
      <c r="B44" s="174">
        <v>454</v>
      </c>
      <c r="C44" s="178" t="s">
        <v>641</v>
      </c>
      <c r="D44" s="175" t="s">
        <v>642</v>
      </c>
      <c r="E44" s="949">
        <v>0</v>
      </c>
      <c r="F44" s="264" t="str">
        <f>$J$2</f>
        <v>GRSM</v>
      </c>
      <c r="G44" s="950">
        <v>0</v>
      </c>
      <c r="H44" s="950">
        <v>0</v>
      </c>
      <c r="I44" s="950">
        <v>0</v>
      </c>
      <c r="J44" s="950">
        <v>0</v>
      </c>
      <c r="K44" s="297" t="s">
        <v>614</v>
      </c>
      <c r="L44" s="949">
        <v>0</v>
      </c>
      <c r="M44" s="950">
        <v>0</v>
      </c>
      <c r="N44" s="950">
        <v>0</v>
      </c>
      <c r="O44" s="179">
        <v>2</v>
      </c>
    </row>
    <row r="45" spans="1:15" x14ac:dyDescent="0.25">
      <c r="A45" s="177" t="s">
        <v>633</v>
      </c>
      <c r="B45" s="174">
        <v>454</v>
      </c>
      <c r="C45" s="189" t="s">
        <v>644</v>
      </c>
      <c r="D45" s="175" t="s">
        <v>645</v>
      </c>
      <c r="E45" s="949">
        <v>0</v>
      </c>
      <c r="F45" s="264" t="str">
        <f>$J$2</f>
        <v>GRSM</v>
      </c>
      <c r="G45" s="950">
        <v>0</v>
      </c>
      <c r="H45" s="950">
        <v>0</v>
      </c>
      <c r="I45" s="950">
        <v>0</v>
      </c>
      <c r="J45" s="950">
        <v>0</v>
      </c>
      <c r="K45" s="297" t="s">
        <v>614</v>
      </c>
      <c r="L45" s="949">
        <v>0</v>
      </c>
      <c r="M45" s="950">
        <v>0</v>
      </c>
      <c r="N45" s="950">
        <v>0</v>
      </c>
      <c r="O45" s="176">
        <v>2</v>
      </c>
    </row>
    <row r="46" spans="1:15" x14ac:dyDescent="0.25">
      <c r="A46" s="177" t="s">
        <v>634</v>
      </c>
      <c r="B46" s="174">
        <v>454</v>
      </c>
      <c r="C46" s="175" t="s">
        <v>647</v>
      </c>
      <c r="D46" s="175" t="s">
        <v>1237</v>
      </c>
      <c r="E46" s="949">
        <v>0</v>
      </c>
      <c r="F46" s="264" t="str">
        <f>$G$2</f>
        <v>Traditional OOR</v>
      </c>
      <c r="G46" s="950">
        <v>0</v>
      </c>
      <c r="H46" s="950">
        <v>0</v>
      </c>
      <c r="I46" s="950">
        <v>0</v>
      </c>
      <c r="J46" s="950">
        <v>0</v>
      </c>
      <c r="K46" s="260"/>
      <c r="L46" s="949">
        <v>0</v>
      </c>
      <c r="M46" s="950">
        <v>0</v>
      </c>
      <c r="N46" s="950">
        <v>0</v>
      </c>
      <c r="O46" s="176">
        <v>4</v>
      </c>
    </row>
    <row r="47" spans="1:15" x14ac:dyDescent="0.25">
      <c r="A47" s="177" t="s">
        <v>637</v>
      </c>
      <c r="B47" s="174">
        <v>454</v>
      </c>
      <c r="C47" s="178" t="s">
        <v>649</v>
      </c>
      <c r="D47" s="175" t="s">
        <v>650</v>
      </c>
      <c r="E47" s="949">
        <v>0</v>
      </c>
      <c r="F47" s="264" t="str">
        <f>$N$2</f>
        <v>Other Ratemaking</v>
      </c>
      <c r="G47" s="950">
        <v>0</v>
      </c>
      <c r="H47" s="950">
        <v>0</v>
      </c>
      <c r="I47" s="950">
        <v>0</v>
      </c>
      <c r="J47" s="950">
        <v>0</v>
      </c>
      <c r="K47" s="260"/>
      <c r="L47" s="949">
        <v>0</v>
      </c>
      <c r="M47" s="950">
        <v>0</v>
      </c>
      <c r="N47" s="950">
        <v>0</v>
      </c>
      <c r="O47" s="179" t="s">
        <v>651</v>
      </c>
    </row>
    <row r="48" spans="1:15" x14ac:dyDescent="0.25">
      <c r="A48" s="177" t="s">
        <v>640</v>
      </c>
      <c r="B48" s="174">
        <v>454</v>
      </c>
      <c r="C48" s="178" t="s">
        <v>653</v>
      </c>
      <c r="D48" s="175" t="s">
        <v>654</v>
      </c>
      <c r="E48" s="949">
        <v>0</v>
      </c>
      <c r="F48" s="264" t="str">
        <f>$G$2</f>
        <v>Traditional OOR</v>
      </c>
      <c r="G48" s="950">
        <v>0</v>
      </c>
      <c r="H48" s="950">
        <v>0</v>
      </c>
      <c r="I48" s="950">
        <v>0</v>
      </c>
      <c r="J48" s="950">
        <v>0</v>
      </c>
      <c r="K48" s="260"/>
      <c r="L48" s="949">
        <v>0</v>
      </c>
      <c r="M48" s="950">
        <v>0</v>
      </c>
      <c r="N48" s="950">
        <v>0</v>
      </c>
      <c r="O48" s="179">
        <v>7</v>
      </c>
    </row>
    <row r="49" spans="1:15" x14ac:dyDescent="0.25">
      <c r="A49" s="177" t="s">
        <v>643</v>
      </c>
      <c r="B49" s="174">
        <v>454</v>
      </c>
      <c r="C49" s="175" t="s">
        <v>656</v>
      </c>
      <c r="D49" s="175" t="s">
        <v>657</v>
      </c>
      <c r="E49" s="949">
        <v>0</v>
      </c>
      <c r="F49" s="264" t="str">
        <f>$N$2</f>
        <v>Other Ratemaking</v>
      </c>
      <c r="G49" s="950">
        <v>0</v>
      </c>
      <c r="H49" s="950">
        <v>0</v>
      </c>
      <c r="I49" s="950">
        <v>0</v>
      </c>
      <c r="J49" s="950">
        <v>0</v>
      </c>
      <c r="K49" s="260"/>
      <c r="L49" s="949">
        <v>0</v>
      </c>
      <c r="M49" s="950">
        <v>0</v>
      </c>
      <c r="N49" s="950">
        <v>0</v>
      </c>
      <c r="O49" s="176" t="s">
        <v>651</v>
      </c>
    </row>
    <row r="50" spans="1:15" x14ac:dyDescent="0.25">
      <c r="A50" s="177" t="s">
        <v>646</v>
      </c>
      <c r="B50" s="174">
        <v>454</v>
      </c>
      <c r="C50" s="178" t="s">
        <v>659</v>
      </c>
      <c r="D50" s="175" t="s">
        <v>660</v>
      </c>
      <c r="E50" s="949">
        <v>0</v>
      </c>
      <c r="F50" s="264" t="str">
        <f t="shared" ref="F50:F55" si="2">$G$2</f>
        <v>Traditional OOR</v>
      </c>
      <c r="G50" s="950">
        <v>0</v>
      </c>
      <c r="H50" s="950">
        <v>0</v>
      </c>
      <c r="I50" s="950">
        <v>0</v>
      </c>
      <c r="J50" s="950">
        <v>0</v>
      </c>
      <c r="K50" s="260"/>
      <c r="L50" s="949">
        <v>0</v>
      </c>
      <c r="M50" s="950">
        <v>0</v>
      </c>
      <c r="N50" s="950">
        <v>0</v>
      </c>
      <c r="O50" s="179">
        <v>7</v>
      </c>
    </row>
    <row r="51" spans="1:15" x14ac:dyDescent="0.25">
      <c r="A51" s="177" t="s">
        <v>648</v>
      </c>
      <c r="B51" s="174">
        <v>454</v>
      </c>
      <c r="C51" s="178" t="s">
        <v>662</v>
      </c>
      <c r="D51" s="175" t="s">
        <v>663</v>
      </c>
      <c r="E51" s="949">
        <v>0</v>
      </c>
      <c r="F51" s="264" t="str">
        <f t="shared" si="2"/>
        <v>Traditional OOR</v>
      </c>
      <c r="G51" s="950">
        <v>0</v>
      </c>
      <c r="H51" s="950">
        <v>0</v>
      </c>
      <c r="I51" s="950">
        <v>0</v>
      </c>
      <c r="J51" s="950">
        <v>0</v>
      </c>
      <c r="K51" s="260"/>
      <c r="L51" s="949">
        <v>0</v>
      </c>
      <c r="M51" s="950">
        <v>0</v>
      </c>
      <c r="N51" s="950">
        <v>0</v>
      </c>
      <c r="O51" s="179">
        <v>1</v>
      </c>
    </row>
    <row r="52" spans="1:15" x14ac:dyDescent="0.25">
      <c r="A52" s="177" t="s">
        <v>652</v>
      </c>
      <c r="B52" s="174">
        <v>454</v>
      </c>
      <c r="C52" s="178" t="s">
        <v>665</v>
      </c>
      <c r="D52" s="175" t="s">
        <v>666</v>
      </c>
      <c r="E52" s="949">
        <v>0</v>
      </c>
      <c r="F52" s="264" t="str">
        <f t="shared" si="2"/>
        <v>Traditional OOR</v>
      </c>
      <c r="G52" s="950">
        <v>0</v>
      </c>
      <c r="H52" s="950">
        <v>0</v>
      </c>
      <c r="I52" s="950">
        <v>0</v>
      </c>
      <c r="J52" s="950">
        <v>0</v>
      </c>
      <c r="K52" s="260"/>
      <c r="L52" s="949">
        <v>0</v>
      </c>
      <c r="M52" s="950">
        <v>0</v>
      </c>
      <c r="N52" s="950">
        <v>0</v>
      </c>
      <c r="O52" s="179">
        <v>4</v>
      </c>
    </row>
    <row r="53" spans="1:15" x14ac:dyDescent="0.25">
      <c r="A53" s="177" t="s">
        <v>655</v>
      </c>
      <c r="B53" s="174">
        <v>454</v>
      </c>
      <c r="C53" s="178" t="s">
        <v>668</v>
      </c>
      <c r="D53" s="175" t="s">
        <v>669</v>
      </c>
      <c r="E53" s="949">
        <v>0</v>
      </c>
      <c r="F53" s="264" t="str">
        <f t="shared" si="2"/>
        <v>Traditional OOR</v>
      </c>
      <c r="G53" s="950">
        <v>0</v>
      </c>
      <c r="H53" s="950">
        <v>0</v>
      </c>
      <c r="I53" s="950">
        <v>0</v>
      </c>
      <c r="J53" s="950">
        <v>0</v>
      </c>
      <c r="K53" s="260"/>
      <c r="L53" s="949">
        <v>0</v>
      </c>
      <c r="M53" s="950">
        <v>0</v>
      </c>
      <c r="N53" s="950">
        <v>0</v>
      </c>
      <c r="O53" s="179">
        <v>4</v>
      </c>
    </row>
    <row r="54" spans="1:15" x14ac:dyDescent="0.25">
      <c r="A54" s="177" t="s">
        <v>658</v>
      </c>
      <c r="B54" s="174">
        <v>454</v>
      </c>
      <c r="C54" s="178" t="s">
        <v>671</v>
      </c>
      <c r="D54" s="175" t="s">
        <v>672</v>
      </c>
      <c r="E54" s="949">
        <v>0</v>
      </c>
      <c r="F54" s="264" t="str">
        <f t="shared" si="2"/>
        <v>Traditional OOR</v>
      </c>
      <c r="G54" s="950">
        <v>0</v>
      </c>
      <c r="H54" s="950">
        <v>0</v>
      </c>
      <c r="I54" s="950">
        <v>0</v>
      </c>
      <c r="J54" s="950">
        <v>0</v>
      </c>
      <c r="K54" s="260"/>
      <c r="L54" s="949">
        <v>0</v>
      </c>
      <c r="M54" s="950">
        <v>0</v>
      </c>
      <c r="N54" s="950">
        <v>0</v>
      </c>
      <c r="O54" s="179">
        <v>4</v>
      </c>
    </row>
    <row r="55" spans="1:15" x14ac:dyDescent="0.25">
      <c r="A55" s="177" t="s">
        <v>661</v>
      </c>
      <c r="B55" s="174">
        <v>454</v>
      </c>
      <c r="C55" s="178" t="s">
        <v>674</v>
      </c>
      <c r="D55" s="175" t="s">
        <v>675</v>
      </c>
      <c r="E55" s="949">
        <v>0</v>
      </c>
      <c r="F55" s="264" t="str">
        <f t="shared" si="2"/>
        <v>Traditional OOR</v>
      </c>
      <c r="G55" s="950">
        <v>0</v>
      </c>
      <c r="H55" s="949">
        <v>0</v>
      </c>
      <c r="I55" s="950">
        <v>0</v>
      </c>
      <c r="J55" s="950">
        <v>0</v>
      </c>
      <c r="K55" s="260"/>
      <c r="L55" s="949">
        <v>0</v>
      </c>
      <c r="M55" s="950">
        <v>0</v>
      </c>
      <c r="N55" s="950">
        <v>0</v>
      </c>
      <c r="O55" s="179">
        <v>8</v>
      </c>
    </row>
    <row r="56" spans="1:15" x14ac:dyDescent="0.25">
      <c r="A56" s="177" t="s">
        <v>664</v>
      </c>
      <c r="B56" s="174">
        <v>454</v>
      </c>
      <c r="C56" s="175" t="s">
        <v>677</v>
      </c>
      <c r="D56" s="175" t="s">
        <v>678</v>
      </c>
      <c r="E56" s="949">
        <v>0</v>
      </c>
      <c r="F56" s="264" t="str">
        <f>$J$2</f>
        <v>GRSM</v>
      </c>
      <c r="G56" s="950">
        <v>0</v>
      </c>
      <c r="H56" s="950">
        <v>0</v>
      </c>
      <c r="I56" s="950">
        <v>0</v>
      </c>
      <c r="J56" s="950">
        <v>0</v>
      </c>
      <c r="K56" s="297" t="s">
        <v>614</v>
      </c>
      <c r="L56" s="949">
        <v>0</v>
      </c>
      <c r="M56" s="950">
        <v>0</v>
      </c>
      <c r="N56" s="950">
        <v>0</v>
      </c>
      <c r="O56" s="176">
        <v>2</v>
      </c>
    </row>
    <row r="57" spans="1:15" x14ac:dyDescent="0.25">
      <c r="A57" s="177" t="s">
        <v>667</v>
      </c>
      <c r="B57" s="174">
        <v>454</v>
      </c>
      <c r="C57" s="178" t="s">
        <v>679</v>
      </c>
      <c r="D57" s="175" t="s">
        <v>680</v>
      </c>
      <c r="E57" s="949">
        <v>0</v>
      </c>
      <c r="F57" s="264" t="str">
        <f>$G$2</f>
        <v>Traditional OOR</v>
      </c>
      <c r="G57" s="950">
        <v>0</v>
      </c>
      <c r="H57" s="950">
        <v>0</v>
      </c>
      <c r="I57" s="950">
        <v>0</v>
      </c>
      <c r="J57" s="950">
        <v>0</v>
      </c>
      <c r="K57" s="260"/>
      <c r="L57" s="949">
        <v>0</v>
      </c>
      <c r="M57" s="950">
        <v>0</v>
      </c>
      <c r="N57" s="950">
        <v>0</v>
      </c>
      <c r="O57" s="176">
        <v>4</v>
      </c>
    </row>
    <row r="58" spans="1:15" x14ac:dyDescent="0.25">
      <c r="A58" s="177" t="s">
        <v>670</v>
      </c>
      <c r="B58" s="174">
        <v>454</v>
      </c>
      <c r="C58" s="173" t="s">
        <v>1388</v>
      </c>
      <c r="D58" s="175" t="s">
        <v>1387</v>
      </c>
      <c r="E58" s="949">
        <v>0</v>
      </c>
      <c r="F58" s="264" t="str">
        <f>$G$2</f>
        <v>Traditional OOR</v>
      </c>
      <c r="G58" s="950">
        <v>0</v>
      </c>
      <c r="H58" s="950">
        <v>0</v>
      </c>
      <c r="I58" s="950">
        <v>0</v>
      </c>
      <c r="J58" s="950">
        <v>0</v>
      </c>
      <c r="K58" s="260"/>
      <c r="L58" s="949">
        <v>0</v>
      </c>
      <c r="M58" s="950">
        <v>0</v>
      </c>
      <c r="N58" s="950">
        <v>0</v>
      </c>
      <c r="O58" s="176">
        <v>1</v>
      </c>
    </row>
    <row r="59" spans="1:15" x14ac:dyDescent="0.25">
      <c r="A59" s="177" t="s">
        <v>673</v>
      </c>
      <c r="B59" s="174">
        <v>454</v>
      </c>
      <c r="C59" s="174">
        <v>4206515</v>
      </c>
      <c r="D59" s="190" t="s">
        <v>2087</v>
      </c>
      <c r="E59" s="949">
        <v>0</v>
      </c>
      <c r="F59" s="264" t="s">
        <v>573</v>
      </c>
      <c r="G59" s="950">
        <v>0</v>
      </c>
      <c r="H59" s="950">
        <v>0</v>
      </c>
      <c r="I59" s="950">
        <v>0</v>
      </c>
      <c r="J59" s="950">
        <v>0</v>
      </c>
      <c r="K59" s="961" t="s">
        <v>614</v>
      </c>
      <c r="L59" s="949">
        <v>0</v>
      </c>
      <c r="M59" s="950">
        <v>0</v>
      </c>
      <c r="N59" s="950">
        <v>0</v>
      </c>
      <c r="O59" s="176">
        <v>2</v>
      </c>
    </row>
    <row r="60" spans="1:15" x14ac:dyDescent="0.25">
      <c r="A60" s="177" t="s">
        <v>676</v>
      </c>
      <c r="B60" s="174">
        <v>454</v>
      </c>
      <c r="C60" s="174">
        <v>4184122</v>
      </c>
      <c r="D60" s="190" t="s">
        <v>2088</v>
      </c>
      <c r="E60" s="949">
        <v>0</v>
      </c>
      <c r="F60" s="264" t="s">
        <v>572</v>
      </c>
      <c r="G60" s="950">
        <v>0</v>
      </c>
      <c r="H60" s="950">
        <v>0</v>
      </c>
      <c r="I60" s="950">
        <v>0</v>
      </c>
      <c r="J60" s="950">
        <v>0</v>
      </c>
      <c r="K60" s="260"/>
      <c r="L60" s="949">
        <v>0</v>
      </c>
      <c r="M60" s="950">
        <v>0</v>
      </c>
      <c r="N60" s="950">
        <v>0</v>
      </c>
      <c r="O60" s="176">
        <v>4</v>
      </c>
    </row>
    <row r="61" spans="1:15" x14ac:dyDescent="0.25">
      <c r="A61" s="173" t="s">
        <v>2086</v>
      </c>
      <c r="B61" s="174">
        <v>454</v>
      </c>
      <c r="C61" s="174">
        <v>4184124</v>
      </c>
      <c r="D61" s="190" t="s">
        <v>2089</v>
      </c>
      <c r="E61" s="949">
        <v>0</v>
      </c>
      <c r="F61" s="264" t="s">
        <v>572</v>
      </c>
      <c r="G61" s="950">
        <v>0</v>
      </c>
      <c r="H61" s="950">
        <v>0</v>
      </c>
      <c r="I61" s="950">
        <v>0</v>
      </c>
      <c r="J61" s="950">
        <v>0</v>
      </c>
      <c r="K61" s="260"/>
      <c r="L61" s="949">
        <v>0</v>
      </c>
      <c r="M61" s="950">
        <v>0</v>
      </c>
      <c r="N61" s="950">
        <v>0</v>
      </c>
      <c r="O61" s="176">
        <v>4</v>
      </c>
    </row>
    <row r="62" spans="1:15" x14ac:dyDescent="0.25">
      <c r="A62" s="292"/>
      <c r="B62" s="288"/>
      <c r="C62" s="287"/>
      <c r="D62" s="289"/>
      <c r="E62" s="264"/>
      <c r="F62" s="264"/>
      <c r="G62" s="268"/>
      <c r="H62" s="266"/>
      <c r="I62" s="266"/>
      <c r="J62" s="264"/>
      <c r="K62" s="264"/>
      <c r="L62" s="266"/>
      <c r="M62" s="266"/>
      <c r="N62" s="264"/>
      <c r="O62" s="265"/>
    </row>
    <row r="63" spans="1:15" x14ac:dyDescent="0.25">
      <c r="A63" s="292"/>
      <c r="B63" s="288"/>
      <c r="C63" s="287"/>
      <c r="D63" s="289"/>
      <c r="E63" s="264"/>
      <c r="F63" s="264"/>
      <c r="G63" s="268"/>
      <c r="H63" s="266"/>
      <c r="I63" s="266"/>
      <c r="J63" s="264"/>
      <c r="K63" s="264"/>
      <c r="L63" s="266"/>
      <c r="M63" s="266"/>
      <c r="N63" s="264"/>
      <c r="O63" s="265"/>
    </row>
    <row r="64" spans="1:15" x14ac:dyDescent="0.25">
      <c r="A64" s="177">
        <v>11</v>
      </c>
      <c r="B64" s="1200" t="s">
        <v>681</v>
      </c>
      <c r="C64" s="1198"/>
      <c r="D64" s="1199"/>
      <c r="E64" s="950">
        <v>0</v>
      </c>
      <c r="F64" s="281"/>
      <c r="G64" s="950">
        <v>0</v>
      </c>
      <c r="H64" s="950">
        <v>0</v>
      </c>
      <c r="I64" s="950">
        <v>0</v>
      </c>
      <c r="J64" s="950">
        <v>0</v>
      </c>
      <c r="K64" s="281"/>
      <c r="L64" s="950">
        <v>0</v>
      </c>
      <c r="M64" s="950">
        <v>0</v>
      </c>
      <c r="N64" s="950">
        <v>0</v>
      </c>
      <c r="O64" s="166"/>
    </row>
    <row r="65" spans="1:15" ht="24.75" customHeight="1" x14ac:dyDescent="0.25">
      <c r="A65" s="177">
        <v>12</v>
      </c>
      <c r="B65" s="1192" t="s">
        <v>1242</v>
      </c>
      <c r="C65" s="1193"/>
      <c r="D65" s="1194"/>
      <c r="E65" s="949">
        <v>0</v>
      </c>
      <c r="F65" s="272"/>
      <c r="G65" s="286"/>
      <c r="H65" s="272"/>
      <c r="I65" s="272"/>
      <c r="J65" s="259"/>
      <c r="K65" s="272"/>
      <c r="L65" s="259"/>
      <c r="M65" s="259"/>
      <c r="N65" s="259"/>
      <c r="O65" s="165"/>
    </row>
    <row r="66" spans="1:15" x14ac:dyDescent="0.25">
      <c r="A66" s="180"/>
      <c r="B66" s="181"/>
      <c r="C66" s="182"/>
      <c r="D66" s="183"/>
      <c r="E66" s="259"/>
      <c r="F66" s="259"/>
      <c r="G66" s="259"/>
      <c r="H66" s="272"/>
      <c r="I66" s="272"/>
      <c r="J66" s="259"/>
      <c r="K66" s="272"/>
      <c r="L66" s="259"/>
      <c r="M66" s="259"/>
      <c r="N66" s="259"/>
      <c r="O66" s="165"/>
    </row>
    <row r="67" spans="1:15" x14ac:dyDescent="0.25">
      <c r="A67" s="177" t="s">
        <v>682</v>
      </c>
      <c r="B67" s="174">
        <v>456</v>
      </c>
      <c r="C67" s="178" t="s">
        <v>686</v>
      </c>
      <c r="D67" s="175" t="s">
        <v>687</v>
      </c>
      <c r="E67" s="949">
        <v>0</v>
      </c>
      <c r="F67" s="264" t="str">
        <f t="shared" ref="F67:F75" si="3">$G$2</f>
        <v>Traditional OOR</v>
      </c>
      <c r="G67" s="950">
        <v>0</v>
      </c>
      <c r="H67" s="950">
        <v>0</v>
      </c>
      <c r="I67" s="950">
        <v>0</v>
      </c>
      <c r="J67" s="950">
        <v>0</v>
      </c>
      <c r="K67" s="260"/>
      <c r="L67" s="949">
        <v>0</v>
      </c>
      <c r="M67" s="950">
        <v>0</v>
      </c>
      <c r="N67" s="950">
        <v>0</v>
      </c>
      <c r="O67" s="179">
        <v>1</v>
      </c>
    </row>
    <row r="68" spans="1:15" x14ac:dyDescent="0.25">
      <c r="A68" s="177" t="s">
        <v>683</v>
      </c>
      <c r="B68" s="174">
        <v>456</v>
      </c>
      <c r="C68" s="178" t="s">
        <v>688</v>
      </c>
      <c r="D68" s="175" t="s">
        <v>689</v>
      </c>
      <c r="E68" s="949">
        <v>0</v>
      </c>
      <c r="F68" s="264" t="str">
        <f t="shared" si="3"/>
        <v>Traditional OOR</v>
      </c>
      <c r="G68" s="950">
        <v>0</v>
      </c>
      <c r="H68" s="950">
        <v>0</v>
      </c>
      <c r="I68" s="950">
        <v>0</v>
      </c>
      <c r="J68" s="950">
        <v>0</v>
      </c>
      <c r="K68" s="260"/>
      <c r="L68" s="949">
        <v>0</v>
      </c>
      <c r="M68" s="950">
        <v>0</v>
      </c>
      <c r="N68" s="950">
        <v>0</v>
      </c>
      <c r="O68" s="179">
        <v>4</v>
      </c>
    </row>
    <row r="69" spans="1:15" x14ac:dyDescent="0.25">
      <c r="A69" s="177" t="s">
        <v>684</v>
      </c>
      <c r="B69" s="174">
        <v>456</v>
      </c>
      <c r="C69" s="178" t="s">
        <v>690</v>
      </c>
      <c r="D69" s="175" t="s">
        <v>691</v>
      </c>
      <c r="E69" s="949">
        <v>0</v>
      </c>
      <c r="F69" s="264" t="str">
        <f t="shared" si="3"/>
        <v>Traditional OOR</v>
      </c>
      <c r="G69" s="950">
        <v>0</v>
      </c>
      <c r="H69" s="950">
        <v>0</v>
      </c>
      <c r="I69" s="950">
        <v>0</v>
      </c>
      <c r="J69" s="950">
        <v>0</v>
      </c>
      <c r="K69" s="260"/>
      <c r="L69" s="949">
        <v>0</v>
      </c>
      <c r="M69" s="950">
        <v>0</v>
      </c>
      <c r="N69" s="950">
        <v>0</v>
      </c>
      <c r="O69" s="179">
        <v>4</v>
      </c>
    </row>
    <row r="70" spans="1:15" x14ac:dyDescent="0.25">
      <c r="A70" s="177" t="s">
        <v>685</v>
      </c>
      <c r="B70" s="174">
        <v>456</v>
      </c>
      <c r="C70" s="178" t="s">
        <v>693</v>
      </c>
      <c r="D70" s="175" t="s">
        <v>694</v>
      </c>
      <c r="E70" s="949">
        <v>0</v>
      </c>
      <c r="F70" s="264" t="str">
        <f t="shared" si="3"/>
        <v>Traditional OOR</v>
      </c>
      <c r="G70" s="950">
        <v>0</v>
      </c>
      <c r="H70" s="950">
        <v>0</v>
      </c>
      <c r="I70" s="950">
        <v>0</v>
      </c>
      <c r="J70" s="950">
        <v>0</v>
      </c>
      <c r="K70" s="260"/>
      <c r="L70" s="949">
        <v>0</v>
      </c>
      <c r="M70" s="950">
        <v>0</v>
      </c>
      <c r="N70" s="950">
        <v>0</v>
      </c>
      <c r="O70" s="179">
        <v>3</v>
      </c>
    </row>
    <row r="71" spans="1:15" x14ac:dyDescent="0.25">
      <c r="A71" s="173" t="s">
        <v>692</v>
      </c>
      <c r="B71" s="174">
        <v>456</v>
      </c>
      <c r="C71" s="175" t="s">
        <v>696</v>
      </c>
      <c r="D71" s="175" t="s">
        <v>697</v>
      </c>
      <c r="E71" s="949">
        <v>0</v>
      </c>
      <c r="F71" s="264" t="str">
        <f t="shared" si="3"/>
        <v>Traditional OOR</v>
      </c>
      <c r="G71" s="950">
        <v>0</v>
      </c>
      <c r="H71" s="950">
        <v>0</v>
      </c>
      <c r="I71" s="950">
        <v>0</v>
      </c>
      <c r="J71" s="950">
        <v>0</v>
      </c>
      <c r="K71" s="260"/>
      <c r="L71" s="949">
        <v>0</v>
      </c>
      <c r="M71" s="950">
        <v>0</v>
      </c>
      <c r="N71" s="950">
        <v>0</v>
      </c>
      <c r="O71" s="179">
        <v>1</v>
      </c>
    </row>
    <row r="72" spans="1:15" x14ac:dyDescent="0.25">
      <c r="A72" s="173" t="s">
        <v>695</v>
      </c>
      <c r="B72" s="174">
        <v>456</v>
      </c>
      <c r="C72" s="175" t="s">
        <v>699</v>
      </c>
      <c r="D72" s="175" t="s">
        <v>700</v>
      </c>
      <c r="E72" s="949">
        <v>0</v>
      </c>
      <c r="F72" s="264" t="str">
        <f t="shared" si="3"/>
        <v>Traditional OOR</v>
      </c>
      <c r="G72" s="950">
        <v>0</v>
      </c>
      <c r="H72" s="950">
        <v>0</v>
      </c>
      <c r="I72" s="950">
        <v>0</v>
      </c>
      <c r="J72" s="950">
        <v>0</v>
      </c>
      <c r="K72" s="260"/>
      <c r="L72" s="949">
        <v>0</v>
      </c>
      <c r="M72" s="950">
        <v>0</v>
      </c>
      <c r="N72" s="950">
        <v>0</v>
      </c>
      <c r="O72" s="179">
        <v>1</v>
      </c>
    </row>
    <row r="73" spans="1:15" x14ac:dyDescent="0.25">
      <c r="A73" s="173" t="s">
        <v>698</v>
      </c>
      <c r="B73" s="174">
        <v>456</v>
      </c>
      <c r="C73" s="175" t="s">
        <v>702</v>
      </c>
      <c r="D73" s="175" t="s">
        <v>703</v>
      </c>
      <c r="E73" s="949">
        <v>0</v>
      </c>
      <c r="F73" s="264" t="str">
        <f t="shared" si="3"/>
        <v>Traditional OOR</v>
      </c>
      <c r="G73" s="950">
        <v>0</v>
      </c>
      <c r="H73" s="950">
        <v>0</v>
      </c>
      <c r="I73" s="950">
        <v>0</v>
      </c>
      <c r="J73" s="950">
        <v>0</v>
      </c>
      <c r="K73" s="260"/>
      <c r="L73" s="949">
        <v>0</v>
      </c>
      <c r="M73" s="950">
        <v>0</v>
      </c>
      <c r="N73" s="950">
        <v>0</v>
      </c>
      <c r="O73" s="179">
        <v>3</v>
      </c>
    </row>
    <row r="74" spans="1:15" x14ac:dyDescent="0.25">
      <c r="A74" s="173" t="s">
        <v>701</v>
      </c>
      <c r="B74" s="174">
        <v>456</v>
      </c>
      <c r="C74" s="174">
        <v>4186142</v>
      </c>
      <c r="D74" s="175" t="s">
        <v>1386</v>
      </c>
      <c r="E74" s="949">
        <v>0</v>
      </c>
      <c r="F74" s="264" t="str">
        <f t="shared" si="3"/>
        <v>Traditional OOR</v>
      </c>
      <c r="G74" s="950">
        <v>0</v>
      </c>
      <c r="H74" s="950">
        <v>0</v>
      </c>
      <c r="I74" s="950">
        <v>0</v>
      </c>
      <c r="J74" s="950">
        <v>0</v>
      </c>
      <c r="K74" s="260"/>
      <c r="L74" s="949">
        <v>0</v>
      </c>
      <c r="M74" s="950">
        <v>0</v>
      </c>
      <c r="N74" s="950">
        <v>0</v>
      </c>
      <c r="O74" s="179">
        <v>4</v>
      </c>
    </row>
    <row r="75" spans="1:15" x14ac:dyDescent="0.25">
      <c r="A75" s="173" t="s">
        <v>704</v>
      </c>
      <c r="B75" s="174">
        <v>456</v>
      </c>
      <c r="C75" s="175" t="s">
        <v>705</v>
      </c>
      <c r="D75" s="175" t="s">
        <v>706</v>
      </c>
      <c r="E75" s="949">
        <v>0</v>
      </c>
      <c r="F75" s="264" t="str">
        <f t="shared" si="3"/>
        <v>Traditional OOR</v>
      </c>
      <c r="G75" s="950">
        <v>0</v>
      </c>
      <c r="H75" s="950">
        <v>0</v>
      </c>
      <c r="I75" s="950">
        <v>0</v>
      </c>
      <c r="J75" s="950">
        <v>0</v>
      </c>
      <c r="K75" s="260"/>
      <c r="L75" s="949">
        <v>0</v>
      </c>
      <c r="M75" s="950">
        <v>0</v>
      </c>
      <c r="N75" s="950">
        <v>0</v>
      </c>
      <c r="O75" s="179">
        <v>7</v>
      </c>
    </row>
    <row r="76" spans="1:15" x14ac:dyDescent="0.25">
      <c r="A76" s="173" t="s">
        <v>707</v>
      </c>
      <c r="B76" s="174">
        <v>456</v>
      </c>
      <c r="C76" s="175" t="s">
        <v>708</v>
      </c>
      <c r="D76" s="175" t="s">
        <v>709</v>
      </c>
      <c r="E76" s="949">
        <v>0</v>
      </c>
      <c r="F76" s="264" t="str">
        <f>$N$2</f>
        <v>Other Ratemaking</v>
      </c>
      <c r="G76" s="950">
        <v>0</v>
      </c>
      <c r="H76" s="950">
        <v>0</v>
      </c>
      <c r="I76" s="950">
        <v>0</v>
      </c>
      <c r="J76" s="950">
        <v>0</v>
      </c>
      <c r="K76" s="260"/>
      <c r="L76" s="949">
        <v>0</v>
      </c>
      <c r="M76" s="950">
        <v>0</v>
      </c>
      <c r="N76" s="950">
        <v>0</v>
      </c>
      <c r="O76" s="179" t="s">
        <v>651</v>
      </c>
    </row>
    <row r="77" spans="1:15" x14ac:dyDescent="0.25">
      <c r="A77" s="173" t="s">
        <v>710</v>
      </c>
      <c r="B77" s="174">
        <v>456</v>
      </c>
      <c r="C77" s="175" t="s">
        <v>711</v>
      </c>
      <c r="D77" s="175" t="s">
        <v>712</v>
      </c>
      <c r="E77" s="949">
        <v>0</v>
      </c>
      <c r="F77" s="264" t="str">
        <f t="shared" ref="F77:F82" si="4">$G$2</f>
        <v>Traditional OOR</v>
      </c>
      <c r="G77" s="950">
        <v>0</v>
      </c>
      <c r="H77" s="950">
        <v>0</v>
      </c>
      <c r="I77" s="950">
        <v>0</v>
      </c>
      <c r="J77" s="950">
        <v>0</v>
      </c>
      <c r="K77" s="260"/>
      <c r="L77" s="949">
        <v>0</v>
      </c>
      <c r="M77" s="950">
        <v>0</v>
      </c>
      <c r="N77" s="950">
        <v>0</v>
      </c>
      <c r="O77" s="179">
        <v>4</v>
      </c>
    </row>
    <row r="78" spans="1:15" x14ac:dyDescent="0.25">
      <c r="A78" s="173" t="s">
        <v>713</v>
      </c>
      <c r="B78" s="174">
        <v>456</v>
      </c>
      <c r="C78" s="175" t="s">
        <v>714</v>
      </c>
      <c r="D78" s="175" t="s">
        <v>715</v>
      </c>
      <c r="E78" s="949">
        <v>0</v>
      </c>
      <c r="F78" s="264" t="str">
        <f t="shared" si="4"/>
        <v>Traditional OOR</v>
      </c>
      <c r="G78" s="950">
        <v>0</v>
      </c>
      <c r="H78" s="950">
        <v>0</v>
      </c>
      <c r="I78" s="950">
        <v>0</v>
      </c>
      <c r="J78" s="950">
        <v>0</v>
      </c>
      <c r="K78" s="260"/>
      <c r="L78" s="949">
        <v>0</v>
      </c>
      <c r="M78" s="950">
        <v>0</v>
      </c>
      <c r="N78" s="950">
        <v>0</v>
      </c>
      <c r="O78" s="179">
        <v>4</v>
      </c>
    </row>
    <row r="79" spans="1:15" x14ac:dyDescent="0.25">
      <c r="A79" s="173" t="s">
        <v>716</v>
      </c>
      <c r="B79" s="174">
        <v>456</v>
      </c>
      <c r="C79" s="175" t="s">
        <v>717</v>
      </c>
      <c r="D79" s="175" t="s">
        <v>718</v>
      </c>
      <c r="E79" s="949">
        <v>0</v>
      </c>
      <c r="F79" s="264" t="str">
        <f t="shared" si="4"/>
        <v>Traditional OOR</v>
      </c>
      <c r="G79" s="950">
        <v>0</v>
      </c>
      <c r="H79" s="950">
        <v>0</v>
      </c>
      <c r="I79" s="950">
        <v>0</v>
      </c>
      <c r="J79" s="950">
        <v>0</v>
      </c>
      <c r="K79" s="260"/>
      <c r="L79" s="949">
        <v>0</v>
      </c>
      <c r="M79" s="950">
        <v>0</v>
      </c>
      <c r="N79" s="950">
        <v>0</v>
      </c>
      <c r="O79" s="179">
        <v>4</v>
      </c>
    </row>
    <row r="80" spans="1:15" x14ac:dyDescent="0.25">
      <c r="A80" s="173" t="s">
        <v>719</v>
      </c>
      <c r="B80" s="174">
        <v>456</v>
      </c>
      <c r="C80" s="175" t="s">
        <v>720</v>
      </c>
      <c r="D80" s="175" t="s">
        <v>721</v>
      </c>
      <c r="E80" s="949">
        <v>0</v>
      </c>
      <c r="F80" s="264" t="str">
        <f t="shared" si="4"/>
        <v>Traditional OOR</v>
      </c>
      <c r="G80" s="950">
        <v>0</v>
      </c>
      <c r="H80" s="950">
        <v>0</v>
      </c>
      <c r="I80" s="950">
        <v>0</v>
      </c>
      <c r="J80" s="950">
        <v>0</v>
      </c>
      <c r="K80" s="260"/>
      <c r="L80" s="949">
        <v>0</v>
      </c>
      <c r="M80" s="950">
        <v>0</v>
      </c>
      <c r="N80" s="950">
        <v>0</v>
      </c>
      <c r="O80" s="179">
        <v>4</v>
      </c>
    </row>
    <row r="81" spans="1:15" x14ac:dyDescent="0.25">
      <c r="A81" s="173" t="s">
        <v>722</v>
      </c>
      <c r="B81" s="174">
        <v>456</v>
      </c>
      <c r="C81" s="175" t="s">
        <v>723</v>
      </c>
      <c r="D81" s="175" t="s">
        <v>724</v>
      </c>
      <c r="E81" s="949">
        <v>0</v>
      </c>
      <c r="F81" s="264" t="str">
        <f t="shared" si="4"/>
        <v>Traditional OOR</v>
      </c>
      <c r="G81" s="950">
        <v>0</v>
      </c>
      <c r="H81" s="950">
        <v>0</v>
      </c>
      <c r="I81" s="950">
        <v>0</v>
      </c>
      <c r="J81" s="950">
        <v>0</v>
      </c>
      <c r="K81" s="260"/>
      <c r="L81" s="949">
        <v>0</v>
      </c>
      <c r="M81" s="950">
        <v>0</v>
      </c>
      <c r="N81" s="950">
        <v>0</v>
      </c>
      <c r="O81" s="179">
        <v>4</v>
      </c>
    </row>
    <row r="82" spans="1:15" x14ac:dyDescent="0.25">
      <c r="A82" s="173" t="s">
        <v>725</v>
      </c>
      <c r="B82" s="174">
        <v>456</v>
      </c>
      <c r="C82" s="175" t="s">
        <v>726</v>
      </c>
      <c r="D82" s="175" t="s">
        <v>727</v>
      </c>
      <c r="E82" s="949">
        <v>0</v>
      </c>
      <c r="F82" s="264" t="str">
        <f t="shared" si="4"/>
        <v>Traditional OOR</v>
      </c>
      <c r="G82" s="950">
        <v>0</v>
      </c>
      <c r="H82" s="950">
        <v>0</v>
      </c>
      <c r="I82" s="950">
        <v>0</v>
      </c>
      <c r="J82" s="950">
        <v>0</v>
      </c>
      <c r="K82" s="260"/>
      <c r="L82" s="949">
        <v>0</v>
      </c>
      <c r="M82" s="950">
        <v>0</v>
      </c>
      <c r="N82" s="950">
        <v>0</v>
      </c>
      <c r="O82" s="179">
        <v>4</v>
      </c>
    </row>
    <row r="83" spans="1:15" x14ac:dyDescent="0.25">
      <c r="A83" s="173" t="s">
        <v>728</v>
      </c>
      <c r="B83" s="174">
        <v>456</v>
      </c>
      <c r="C83" s="175" t="s">
        <v>729</v>
      </c>
      <c r="D83" s="175" t="s">
        <v>730</v>
      </c>
      <c r="E83" s="949">
        <v>0</v>
      </c>
      <c r="F83" s="264" t="str">
        <f t="shared" ref="F83:F93" si="5">$J$2</f>
        <v>GRSM</v>
      </c>
      <c r="G83" s="950">
        <v>0</v>
      </c>
      <c r="H83" s="950">
        <v>0</v>
      </c>
      <c r="I83" s="950">
        <v>0</v>
      </c>
      <c r="J83" s="950">
        <v>0</v>
      </c>
      <c r="K83" s="297" t="s">
        <v>614</v>
      </c>
      <c r="L83" s="949">
        <v>0</v>
      </c>
      <c r="M83" s="950">
        <v>0</v>
      </c>
      <c r="N83" s="950">
        <v>0</v>
      </c>
      <c r="O83" s="179">
        <v>2</v>
      </c>
    </row>
    <row r="84" spans="1:15" x14ac:dyDescent="0.25">
      <c r="A84" s="173" t="s">
        <v>731</v>
      </c>
      <c r="B84" s="174">
        <v>456</v>
      </c>
      <c r="C84" s="175" t="s">
        <v>732</v>
      </c>
      <c r="D84" s="175" t="s">
        <v>733</v>
      </c>
      <c r="E84" s="949">
        <v>0</v>
      </c>
      <c r="F84" s="264" t="str">
        <f t="shared" si="5"/>
        <v>GRSM</v>
      </c>
      <c r="G84" s="950">
        <v>0</v>
      </c>
      <c r="H84" s="950">
        <v>0</v>
      </c>
      <c r="I84" s="950">
        <v>0</v>
      </c>
      <c r="J84" s="950">
        <v>0</v>
      </c>
      <c r="K84" s="297" t="s">
        <v>614</v>
      </c>
      <c r="L84" s="949">
        <v>0</v>
      </c>
      <c r="M84" s="950">
        <v>0</v>
      </c>
      <c r="N84" s="950">
        <v>0</v>
      </c>
      <c r="O84" s="179">
        <v>2</v>
      </c>
    </row>
    <row r="85" spans="1:15" x14ac:dyDescent="0.25">
      <c r="A85" s="173" t="s">
        <v>734</v>
      </c>
      <c r="B85" s="174">
        <v>456</v>
      </c>
      <c r="C85" s="175" t="s">
        <v>735</v>
      </c>
      <c r="D85" s="175" t="s">
        <v>736</v>
      </c>
      <c r="E85" s="949">
        <v>0</v>
      </c>
      <c r="F85" s="264" t="str">
        <f t="shared" si="5"/>
        <v>GRSM</v>
      </c>
      <c r="G85" s="950">
        <v>0</v>
      </c>
      <c r="H85" s="950">
        <v>0</v>
      </c>
      <c r="I85" s="950">
        <v>0</v>
      </c>
      <c r="J85" s="950">
        <v>0</v>
      </c>
      <c r="K85" s="297" t="s">
        <v>614</v>
      </c>
      <c r="L85" s="949">
        <v>0</v>
      </c>
      <c r="M85" s="950">
        <v>0</v>
      </c>
      <c r="N85" s="950">
        <v>0</v>
      </c>
      <c r="O85" s="179">
        <v>2</v>
      </c>
    </row>
    <row r="86" spans="1:15" x14ac:dyDescent="0.25">
      <c r="A86" s="915" t="s">
        <v>737</v>
      </c>
      <c r="B86" s="174">
        <v>456</v>
      </c>
      <c r="C86" s="175" t="s">
        <v>739</v>
      </c>
      <c r="D86" s="175" t="s">
        <v>740</v>
      </c>
      <c r="E86" s="949">
        <v>0</v>
      </c>
      <c r="F86" s="264" t="str">
        <f t="shared" si="5"/>
        <v>GRSM</v>
      </c>
      <c r="G86" s="950">
        <v>0</v>
      </c>
      <c r="H86" s="950">
        <v>0</v>
      </c>
      <c r="I86" s="950">
        <v>0</v>
      </c>
      <c r="J86" s="950">
        <v>0</v>
      </c>
      <c r="K86" s="297" t="s">
        <v>614</v>
      </c>
      <c r="L86" s="949">
        <v>0</v>
      </c>
      <c r="M86" s="950">
        <v>0</v>
      </c>
      <c r="N86" s="950">
        <v>0</v>
      </c>
      <c r="O86" s="179">
        <v>2</v>
      </c>
    </row>
    <row r="87" spans="1:15" x14ac:dyDescent="0.25">
      <c r="A87" s="915" t="s">
        <v>738</v>
      </c>
      <c r="B87" s="174">
        <v>456</v>
      </c>
      <c r="C87" s="175" t="s">
        <v>742</v>
      </c>
      <c r="D87" s="175" t="s">
        <v>743</v>
      </c>
      <c r="E87" s="949">
        <v>0</v>
      </c>
      <c r="F87" s="264" t="str">
        <f t="shared" si="5"/>
        <v>GRSM</v>
      </c>
      <c r="G87" s="950">
        <v>0</v>
      </c>
      <c r="H87" s="950">
        <v>0</v>
      </c>
      <c r="I87" s="950">
        <v>0</v>
      </c>
      <c r="J87" s="950">
        <v>0</v>
      </c>
      <c r="K87" s="297" t="s">
        <v>614</v>
      </c>
      <c r="L87" s="949">
        <v>0</v>
      </c>
      <c r="M87" s="950">
        <v>0</v>
      </c>
      <c r="N87" s="950">
        <v>0</v>
      </c>
      <c r="O87" s="179">
        <v>2</v>
      </c>
    </row>
    <row r="88" spans="1:15" x14ac:dyDescent="0.25">
      <c r="A88" s="915" t="s">
        <v>741</v>
      </c>
      <c r="B88" s="174">
        <v>456</v>
      </c>
      <c r="C88" s="175" t="s">
        <v>745</v>
      </c>
      <c r="D88" s="175" t="s">
        <v>746</v>
      </c>
      <c r="E88" s="949">
        <v>0</v>
      </c>
      <c r="F88" s="264" t="str">
        <f t="shared" si="5"/>
        <v>GRSM</v>
      </c>
      <c r="G88" s="950">
        <v>0</v>
      </c>
      <c r="H88" s="950">
        <v>0</v>
      </c>
      <c r="I88" s="950">
        <v>0</v>
      </c>
      <c r="J88" s="950">
        <v>0</v>
      </c>
      <c r="K88" s="297" t="s">
        <v>614</v>
      </c>
      <c r="L88" s="949">
        <v>0</v>
      </c>
      <c r="M88" s="950">
        <v>0</v>
      </c>
      <c r="N88" s="950">
        <v>0</v>
      </c>
      <c r="O88" s="176">
        <v>2</v>
      </c>
    </row>
    <row r="89" spans="1:15" x14ac:dyDescent="0.25">
      <c r="A89" s="915" t="s">
        <v>744</v>
      </c>
      <c r="B89" s="174">
        <v>456</v>
      </c>
      <c r="C89" s="175" t="s">
        <v>750</v>
      </c>
      <c r="D89" s="175" t="s">
        <v>751</v>
      </c>
      <c r="E89" s="949">
        <v>0</v>
      </c>
      <c r="F89" s="264" t="str">
        <f t="shared" si="5"/>
        <v>GRSM</v>
      </c>
      <c r="G89" s="950">
        <v>0</v>
      </c>
      <c r="H89" s="950">
        <v>0</v>
      </c>
      <c r="I89" s="950">
        <v>0</v>
      </c>
      <c r="J89" s="950">
        <v>0</v>
      </c>
      <c r="K89" s="297" t="s">
        <v>558</v>
      </c>
      <c r="L89" s="949">
        <v>0</v>
      </c>
      <c r="M89" s="950">
        <v>0</v>
      </c>
      <c r="N89" s="950">
        <v>0</v>
      </c>
      <c r="O89" s="176">
        <v>2</v>
      </c>
    </row>
    <row r="90" spans="1:15" x14ac:dyDescent="0.25">
      <c r="A90" s="915" t="s">
        <v>747</v>
      </c>
      <c r="B90" s="174">
        <v>456</v>
      </c>
      <c r="C90" s="175" t="s">
        <v>753</v>
      </c>
      <c r="D90" s="175" t="s">
        <v>754</v>
      </c>
      <c r="E90" s="949">
        <v>0</v>
      </c>
      <c r="F90" s="264" t="str">
        <f t="shared" si="5"/>
        <v>GRSM</v>
      </c>
      <c r="G90" s="950">
        <v>0</v>
      </c>
      <c r="H90" s="950">
        <v>0</v>
      </c>
      <c r="I90" s="950">
        <v>0</v>
      </c>
      <c r="J90" s="950">
        <v>0</v>
      </c>
      <c r="K90" s="297" t="s">
        <v>558</v>
      </c>
      <c r="L90" s="949">
        <v>0</v>
      </c>
      <c r="M90" s="950">
        <v>0</v>
      </c>
      <c r="N90" s="950">
        <v>0</v>
      </c>
      <c r="O90" s="176">
        <v>2</v>
      </c>
    </row>
    <row r="91" spans="1:15" x14ac:dyDescent="0.25">
      <c r="A91" s="915" t="s">
        <v>748</v>
      </c>
      <c r="B91" s="174">
        <v>456</v>
      </c>
      <c r="C91" s="175" t="s">
        <v>756</v>
      </c>
      <c r="D91" s="175" t="s">
        <v>757</v>
      </c>
      <c r="E91" s="949">
        <v>0</v>
      </c>
      <c r="F91" s="264" t="str">
        <f t="shared" si="5"/>
        <v>GRSM</v>
      </c>
      <c r="G91" s="950">
        <v>0</v>
      </c>
      <c r="H91" s="950">
        <v>0</v>
      </c>
      <c r="I91" s="950">
        <v>0</v>
      </c>
      <c r="J91" s="950">
        <v>0</v>
      </c>
      <c r="K91" s="297" t="s">
        <v>558</v>
      </c>
      <c r="L91" s="949">
        <v>0</v>
      </c>
      <c r="M91" s="950">
        <v>0</v>
      </c>
      <c r="N91" s="950">
        <v>0</v>
      </c>
      <c r="O91" s="176">
        <v>2</v>
      </c>
    </row>
    <row r="92" spans="1:15" ht="13.8" customHeight="1" x14ac:dyDescent="0.25">
      <c r="A92" s="915" t="s">
        <v>749</v>
      </c>
      <c r="B92" s="174">
        <v>456</v>
      </c>
      <c r="C92" s="175" t="s">
        <v>759</v>
      </c>
      <c r="D92" s="175" t="s">
        <v>760</v>
      </c>
      <c r="E92" s="949">
        <v>0</v>
      </c>
      <c r="F92" s="264" t="str">
        <f t="shared" si="5"/>
        <v>GRSM</v>
      </c>
      <c r="G92" s="950">
        <v>0</v>
      </c>
      <c r="H92" s="950">
        <v>0</v>
      </c>
      <c r="I92" s="950">
        <v>0</v>
      </c>
      <c r="J92" s="950">
        <v>0</v>
      </c>
      <c r="K92" s="297" t="s">
        <v>558</v>
      </c>
      <c r="L92" s="949">
        <v>0</v>
      </c>
      <c r="M92" s="950">
        <v>0</v>
      </c>
      <c r="N92" s="950">
        <v>0</v>
      </c>
      <c r="O92" s="179">
        <v>2</v>
      </c>
    </row>
    <row r="93" spans="1:15" x14ac:dyDescent="0.25">
      <c r="A93" s="915" t="s">
        <v>752</v>
      </c>
      <c r="B93" s="174">
        <v>456</v>
      </c>
      <c r="C93" s="175" t="s">
        <v>762</v>
      </c>
      <c r="D93" s="175" t="s">
        <v>763</v>
      </c>
      <c r="E93" s="949">
        <v>0</v>
      </c>
      <c r="F93" s="264" t="str">
        <f t="shared" si="5"/>
        <v>GRSM</v>
      </c>
      <c r="G93" s="950">
        <v>0</v>
      </c>
      <c r="H93" s="950">
        <v>0</v>
      </c>
      <c r="I93" s="950">
        <v>0</v>
      </c>
      <c r="J93" s="950">
        <v>0</v>
      </c>
      <c r="K93" s="297" t="s">
        <v>558</v>
      </c>
      <c r="L93" s="949">
        <v>0</v>
      </c>
      <c r="M93" s="950">
        <v>0</v>
      </c>
      <c r="N93" s="950">
        <v>0</v>
      </c>
      <c r="O93" s="176">
        <v>2</v>
      </c>
    </row>
    <row r="94" spans="1:15" x14ac:dyDescent="0.25">
      <c r="A94" s="1096" t="s">
        <v>755</v>
      </c>
      <c r="B94" s="174">
        <v>456</v>
      </c>
      <c r="C94" s="175" t="s">
        <v>765</v>
      </c>
      <c r="D94" s="175" t="s">
        <v>766</v>
      </c>
      <c r="E94" s="949">
        <v>0</v>
      </c>
      <c r="F94" s="264" t="str">
        <f>$N$2</f>
        <v>Other Ratemaking</v>
      </c>
      <c r="G94" s="950">
        <v>0</v>
      </c>
      <c r="H94" s="950">
        <v>0</v>
      </c>
      <c r="I94" s="950">
        <v>0</v>
      </c>
      <c r="J94" s="950">
        <v>0</v>
      </c>
      <c r="K94" s="260"/>
      <c r="L94" s="949">
        <v>0</v>
      </c>
      <c r="M94" s="950">
        <v>0</v>
      </c>
      <c r="N94" s="950">
        <v>0</v>
      </c>
      <c r="O94" s="179">
        <v>6</v>
      </c>
    </row>
    <row r="95" spans="1:15" x14ac:dyDescent="0.25">
      <c r="A95" s="1096" t="s">
        <v>758</v>
      </c>
      <c r="B95" s="174">
        <v>456</v>
      </c>
      <c r="C95" s="175" t="s">
        <v>768</v>
      </c>
      <c r="D95" s="175" t="s">
        <v>769</v>
      </c>
      <c r="E95" s="949">
        <v>0</v>
      </c>
      <c r="F95" s="264" t="str">
        <f>$G$2</f>
        <v>Traditional OOR</v>
      </c>
      <c r="G95" s="950">
        <v>0</v>
      </c>
      <c r="H95" s="950">
        <v>0</v>
      </c>
      <c r="I95" s="950">
        <v>0</v>
      </c>
      <c r="J95" s="950">
        <v>0</v>
      </c>
      <c r="K95" s="260"/>
      <c r="L95" s="949">
        <v>0</v>
      </c>
      <c r="M95" s="950">
        <v>0</v>
      </c>
      <c r="N95" s="950">
        <v>0</v>
      </c>
      <c r="O95" s="179">
        <v>4</v>
      </c>
    </row>
    <row r="96" spans="1:15" ht="13.8" customHeight="1" x14ac:dyDescent="0.25">
      <c r="A96" s="1096" t="s">
        <v>761</v>
      </c>
      <c r="B96" s="174">
        <v>456</v>
      </c>
      <c r="C96" s="175" t="s">
        <v>771</v>
      </c>
      <c r="D96" s="914" t="s">
        <v>1723</v>
      </c>
      <c r="E96" s="949">
        <v>0</v>
      </c>
      <c r="F96" s="264" t="str">
        <f t="shared" ref="F96:F101" si="6">$N$2</f>
        <v>Other Ratemaking</v>
      </c>
      <c r="G96" s="950">
        <v>0</v>
      </c>
      <c r="H96" s="950">
        <v>0</v>
      </c>
      <c r="I96" s="950">
        <v>0</v>
      </c>
      <c r="J96" s="950">
        <v>0</v>
      </c>
      <c r="K96" s="260"/>
      <c r="L96" s="949">
        <v>0</v>
      </c>
      <c r="M96" s="950">
        <v>0</v>
      </c>
      <c r="N96" s="950">
        <v>0</v>
      </c>
      <c r="O96" s="179">
        <v>6</v>
      </c>
    </row>
    <row r="97" spans="1:15" x14ac:dyDescent="0.25">
      <c r="A97" s="173" t="s">
        <v>764</v>
      </c>
      <c r="B97" s="174">
        <v>456</v>
      </c>
      <c r="C97" s="175" t="s">
        <v>773</v>
      </c>
      <c r="D97" s="914" t="s">
        <v>1724</v>
      </c>
      <c r="E97" s="949">
        <v>0</v>
      </c>
      <c r="F97" s="264" t="str">
        <f t="shared" si="6"/>
        <v>Other Ratemaking</v>
      </c>
      <c r="G97" s="950">
        <v>0</v>
      </c>
      <c r="H97" s="950">
        <v>0</v>
      </c>
      <c r="I97" s="950">
        <v>0</v>
      </c>
      <c r="J97" s="950">
        <v>0</v>
      </c>
      <c r="K97" s="260"/>
      <c r="L97" s="949">
        <v>0</v>
      </c>
      <c r="M97" s="950">
        <v>0</v>
      </c>
      <c r="N97" s="950">
        <v>0</v>
      </c>
      <c r="O97" s="179">
        <v>6</v>
      </c>
    </row>
    <row r="98" spans="1:15" x14ac:dyDescent="0.25">
      <c r="A98" s="173" t="s">
        <v>767</v>
      </c>
      <c r="B98" s="174">
        <v>456</v>
      </c>
      <c r="C98" s="175" t="s">
        <v>775</v>
      </c>
      <c r="D98" s="175" t="s">
        <v>776</v>
      </c>
      <c r="E98" s="949">
        <v>0</v>
      </c>
      <c r="F98" s="264" t="str">
        <f t="shared" si="6"/>
        <v>Other Ratemaking</v>
      </c>
      <c r="G98" s="950">
        <v>0</v>
      </c>
      <c r="H98" s="950">
        <v>0</v>
      </c>
      <c r="I98" s="950">
        <v>0</v>
      </c>
      <c r="J98" s="950">
        <v>0</v>
      </c>
      <c r="K98" s="260"/>
      <c r="L98" s="949">
        <v>0</v>
      </c>
      <c r="M98" s="950">
        <v>0</v>
      </c>
      <c r="N98" s="950">
        <v>0</v>
      </c>
      <c r="O98" s="179">
        <v>6</v>
      </c>
    </row>
    <row r="99" spans="1:15" x14ac:dyDescent="0.25">
      <c r="A99" s="173" t="s">
        <v>770</v>
      </c>
      <c r="B99" s="174">
        <v>456</v>
      </c>
      <c r="C99" s="175" t="s">
        <v>778</v>
      </c>
      <c r="D99" s="175" t="s">
        <v>779</v>
      </c>
      <c r="E99" s="949">
        <v>0</v>
      </c>
      <c r="F99" s="264" t="str">
        <f t="shared" si="6"/>
        <v>Other Ratemaking</v>
      </c>
      <c r="G99" s="950">
        <v>0</v>
      </c>
      <c r="H99" s="950">
        <v>0</v>
      </c>
      <c r="I99" s="950">
        <v>0</v>
      </c>
      <c r="J99" s="950">
        <v>0</v>
      </c>
      <c r="K99" s="260"/>
      <c r="L99" s="949">
        <v>0</v>
      </c>
      <c r="M99" s="950">
        <v>0</v>
      </c>
      <c r="N99" s="950">
        <v>0</v>
      </c>
      <c r="O99" s="179">
        <v>6</v>
      </c>
    </row>
    <row r="100" spans="1:15" x14ac:dyDescent="0.25">
      <c r="A100" s="173" t="s">
        <v>772</v>
      </c>
      <c r="B100" s="174">
        <v>456</v>
      </c>
      <c r="C100" s="175" t="s">
        <v>781</v>
      </c>
      <c r="D100" s="914" t="s">
        <v>1725</v>
      </c>
      <c r="E100" s="949">
        <v>0</v>
      </c>
      <c r="F100" s="264" t="str">
        <f t="shared" si="6"/>
        <v>Other Ratemaking</v>
      </c>
      <c r="G100" s="950">
        <v>0</v>
      </c>
      <c r="H100" s="950">
        <v>0</v>
      </c>
      <c r="I100" s="950">
        <v>0</v>
      </c>
      <c r="J100" s="950">
        <v>0</v>
      </c>
      <c r="K100" s="260"/>
      <c r="L100" s="949">
        <v>0</v>
      </c>
      <c r="M100" s="950">
        <v>0</v>
      </c>
      <c r="N100" s="950">
        <v>0</v>
      </c>
      <c r="O100" s="179">
        <v>6</v>
      </c>
    </row>
    <row r="101" spans="1:15" x14ac:dyDescent="0.25">
      <c r="A101" s="173" t="s">
        <v>774</v>
      </c>
      <c r="B101" s="174">
        <v>456</v>
      </c>
      <c r="C101" s="175" t="s">
        <v>783</v>
      </c>
      <c r="D101" s="175" t="s">
        <v>784</v>
      </c>
      <c r="E101" s="949">
        <v>0</v>
      </c>
      <c r="F101" s="264" t="str">
        <f t="shared" si="6"/>
        <v>Other Ratemaking</v>
      </c>
      <c r="G101" s="950">
        <v>0</v>
      </c>
      <c r="H101" s="950">
        <v>0</v>
      </c>
      <c r="I101" s="950">
        <v>0</v>
      </c>
      <c r="J101" s="950">
        <v>0</v>
      </c>
      <c r="K101" s="260"/>
      <c r="L101" s="949">
        <v>0</v>
      </c>
      <c r="M101" s="950">
        <v>0</v>
      </c>
      <c r="N101" s="950">
        <v>0</v>
      </c>
      <c r="O101" s="179">
        <v>6</v>
      </c>
    </row>
    <row r="102" spans="1:15" x14ac:dyDescent="0.25">
      <c r="A102" s="173" t="s">
        <v>777</v>
      </c>
      <c r="B102" s="174">
        <v>456</v>
      </c>
      <c r="C102" s="175" t="s">
        <v>786</v>
      </c>
      <c r="D102" s="175" t="s">
        <v>787</v>
      </c>
      <c r="E102" s="949">
        <v>0</v>
      </c>
      <c r="F102" s="264" t="str">
        <f>$J$2</f>
        <v>GRSM</v>
      </c>
      <c r="G102" s="950">
        <v>0</v>
      </c>
      <c r="H102" s="950">
        <v>0</v>
      </c>
      <c r="I102" s="950">
        <v>0</v>
      </c>
      <c r="J102" s="950">
        <v>0</v>
      </c>
      <c r="K102" s="297" t="s">
        <v>558</v>
      </c>
      <c r="L102" s="949">
        <v>0</v>
      </c>
      <c r="M102" s="950">
        <v>0</v>
      </c>
      <c r="N102" s="950">
        <v>0</v>
      </c>
      <c r="O102" s="179">
        <v>2</v>
      </c>
    </row>
    <row r="103" spans="1:15" x14ac:dyDescent="0.25">
      <c r="A103" s="173" t="s">
        <v>780</v>
      </c>
      <c r="B103" s="174">
        <v>456</v>
      </c>
      <c r="C103" s="175" t="s">
        <v>789</v>
      </c>
      <c r="D103" s="175" t="s">
        <v>790</v>
      </c>
      <c r="E103" s="949">
        <v>0</v>
      </c>
      <c r="F103" s="264" t="str">
        <f>$J$2</f>
        <v>GRSM</v>
      </c>
      <c r="G103" s="950">
        <v>0</v>
      </c>
      <c r="H103" s="950">
        <v>0</v>
      </c>
      <c r="I103" s="950">
        <v>0</v>
      </c>
      <c r="J103" s="950">
        <v>0</v>
      </c>
      <c r="K103" s="297" t="s">
        <v>558</v>
      </c>
      <c r="L103" s="949">
        <v>0</v>
      </c>
      <c r="M103" s="950">
        <v>0</v>
      </c>
      <c r="N103" s="950">
        <v>0</v>
      </c>
      <c r="O103" s="179">
        <v>2</v>
      </c>
    </row>
    <row r="104" spans="1:15" x14ac:dyDescent="0.25">
      <c r="A104" s="173" t="s">
        <v>782</v>
      </c>
      <c r="B104" s="174">
        <v>456</v>
      </c>
      <c r="C104" s="175" t="s">
        <v>793</v>
      </c>
      <c r="D104" s="175" t="s">
        <v>794</v>
      </c>
      <c r="E104" s="949">
        <v>0</v>
      </c>
      <c r="F104" s="264" t="str">
        <f t="shared" ref="F104:F113" si="7">$G$2</f>
        <v>Traditional OOR</v>
      </c>
      <c r="G104" s="950">
        <v>0</v>
      </c>
      <c r="H104" s="950">
        <v>0</v>
      </c>
      <c r="I104" s="950">
        <v>0</v>
      </c>
      <c r="J104" s="950">
        <v>0</v>
      </c>
      <c r="K104" s="260"/>
      <c r="L104" s="949">
        <v>0</v>
      </c>
      <c r="M104" s="950">
        <v>0</v>
      </c>
      <c r="N104" s="950">
        <v>0</v>
      </c>
      <c r="O104" s="179">
        <v>1</v>
      </c>
    </row>
    <row r="105" spans="1:15" x14ac:dyDescent="0.25">
      <c r="A105" s="173" t="s">
        <v>785</v>
      </c>
      <c r="B105" s="174">
        <v>456</v>
      </c>
      <c r="C105" s="175" t="s">
        <v>797</v>
      </c>
      <c r="D105" s="175" t="s">
        <v>798</v>
      </c>
      <c r="E105" s="949">
        <v>0</v>
      </c>
      <c r="F105" s="264" t="str">
        <f t="shared" si="7"/>
        <v>Traditional OOR</v>
      </c>
      <c r="G105" s="950">
        <v>0</v>
      </c>
      <c r="H105" s="950">
        <v>0</v>
      </c>
      <c r="I105" s="950">
        <v>0</v>
      </c>
      <c r="J105" s="950">
        <v>0</v>
      </c>
      <c r="K105" s="260"/>
      <c r="L105" s="949">
        <v>0</v>
      </c>
      <c r="M105" s="950">
        <v>0</v>
      </c>
      <c r="N105" s="950">
        <v>0</v>
      </c>
      <c r="O105" s="179">
        <v>4</v>
      </c>
    </row>
    <row r="106" spans="1:15" x14ac:dyDescent="0.25">
      <c r="A106" s="173" t="s">
        <v>788</v>
      </c>
      <c r="B106" s="174">
        <v>456</v>
      </c>
      <c r="C106" s="175" t="s">
        <v>800</v>
      </c>
      <c r="D106" s="175" t="s">
        <v>801</v>
      </c>
      <c r="E106" s="949">
        <v>0</v>
      </c>
      <c r="F106" s="264" t="str">
        <f t="shared" si="7"/>
        <v>Traditional OOR</v>
      </c>
      <c r="G106" s="950">
        <v>0</v>
      </c>
      <c r="H106" s="950">
        <v>0</v>
      </c>
      <c r="I106" s="950">
        <v>0</v>
      </c>
      <c r="J106" s="950">
        <v>0</v>
      </c>
      <c r="K106" s="260"/>
      <c r="L106" s="949">
        <v>0</v>
      </c>
      <c r="M106" s="950">
        <v>0</v>
      </c>
      <c r="N106" s="950">
        <v>0</v>
      </c>
      <c r="O106" s="179">
        <v>4</v>
      </c>
    </row>
    <row r="107" spans="1:15" x14ac:dyDescent="0.25">
      <c r="A107" s="915" t="s">
        <v>791</v>
      </c>
      <c r="B107" s="174">
        <v>456</v>
      </c>
      <c r="C107" s="175" t="s">
        <v>803</v>
      </c>
      <c r="D107" s="175" t="s">
        <v>804</v>
      </c>
      <c r="E107" s="949">
        <v>0</v>
      </c>
      <c r="F107" s="264" t="str">
        <f t="shared" si="7"/>
        <v>Traditional OOR</v>
      </c>
      <c r="G107" s="950">
        <v>0</v>
      </c>
      <c r="H107" s="950">
        <v>0</v>
      </c>
      <c r="I107" s="950">
        <v>0</v>
      </c>
      <c r="J107" s="950">
        <v>0</v>
      </c>
      <c r="K107" s="260"/>
      <c r="L107" s="949">
        <v>0</v>
      </c>
      <c r="M107" s="950">
        <v>0</v>
      </c>
      <c r="N107" s="950">
        <v>0</v>
      </c>
      <c r="O107" s="179">
        <v>4</v>
      </c>
    </row>
    <row r="108" spans="1:15" x14ac:dyDescent="0.25">
      <c r="A108" s="915" t="s">
        <v>792</v>
      </c>
      <c r="B108" s="174">
        <v>456</v>
      </c>
      <c r="C108" s="175" t="s">
        <v>806</v>
      </c>
      <c r="D108" s="175" t="s">
        <v>807</v>
      </c>
      <c r="E108" s="949">
        <v>0</v>
      </c>
      <c r="F108" s="264" t="str">
        <f t="shared" si="7"/>
        <v>Traditional OOR</v>
      </c>
      <c r="G108" s="950">
        <v>0</v>
      </c>
      <c r="H108" s="950">
        <v>0</v>
      </c>
      <c r="I108" s="950">
        <v>0</v>
      </c>
      <c r="J108" s="950">
        <v>0</v>
      </c>
      <c r="K108" s="260"/>
      <c r="L108" s="949">
        <v>0</v>
      </c>
      <c r="M108" s="950">
        <v>0</v>
      </c>
      <c r="N108" s="950">
        <v>0</v>
      </c>
      <c r="O108" s="179">
        <v>1</v>
      </c>
    </row>
    <row r="109" spans="1:15" x14ac:dyDescent="0.25">
      <c r="A109" s="915" t="s">
        <v>795</v>
      </c>
      <c r="B109" s="174">
        <v>456</v>
      </c>
      <c r="C109" s="175" t="s">
        <v>809</v>
      </c>
      <c r="D109" s="175" t="s">
        <v>810</v>
      </c>
      <c r="E109" s="949">
        <v>0</v>
      </c>
      <c r="F109" s="264" t="str">
        <f t="shared" si="7"/>
        <v>Traditional OOR</v>
      </c>
      <c r="G109" s="950">
        <v>0</v>
      </c>
      <c r="H109" s="950">
        <v>0</v>
      </c>
      <c r="I109" s="950">
        <v>0</v>
      </c>
      <c r="J109" s="950">
        <v>0</v>
      </c>
      <c r="K109" s="260"/>
      <c r="L109" s="949">
        <v>0</v>
      </c>
      <c r="M109" s="950">
        <v>0</v>
      </c>
      <c r="N109" s="950">
        <v>0</v>
      </c>
      <c r="O109" s="179">
        <v>4</v>
      </c>
    </row>
    <row r="110" spans="1:15" x14ac:dyDescent="0.25">
      <c r="A110" s="915" t="s">
        <v>796</v>
      </c>
      <c r="B110" s="174">
        <v>456</v>
      </c>
      <c r="C110" s="175" t="s">
        <v>812</v>
      </c>
      <c r="D110" s="175" t="s">
        <v>813</v>
      </c>
      <c r="E110" s="949">
        <v>0</v>
      </c>
      <c r="F110" s="264" t="str">
        <f t="shared" si="7"/>
        <v>Traditional OOR</v>
      </c>
      <c r="G110" s="950">
        <v>0</v>
      </c>
      <c r="H110" s="949">
        <v>0</v>
      </c>
      <c r="I110" s="950">
        <v>0</v>
      </c>
      <c r="J110" s="950">
        <v>0</v>
      </c>
      <c r="K110" s="260"/>
      <c r="L110" s="949">
        <v>0</v>
      </c>
      <c r="M110" s="950">
        <v>0</v>
      </c>
      <c r="N110" s="950">
        <v>0</v>
      </c>
      <c r="O110" s="176">
        <v>8</v>
      </c>
    </row>
    <row r="111" spans="1:15" x14ac:dyDescent="0.25">
      <c r="A111" s="915" t="s">
        <v>799</v>
      </c>
      <c r="B111" s="174">
        <v>456</v>
      </c>
      <c r="C111" s="175" t="s">
        <v>815</v>
      </c>
      <c r="D111" s="175" t="s">
        <v>816</v>
      </c>
      <c r="E111" s="949">
        <v>0</v>
      </c>
      <c r="F111" s="264" t="str">
        <f t="shared" si="7"/>
        <v>Traditional OOR</v>
      </c>
      <c r="G111" s="950">
        <v>0</v>
      </c>
      <c r="H111" s="950">
        <v>0</v>
      </c>
      <c r="I111" s="950">
        <v>0</v>
      </c>
      <c r="J111" s="950">
        <v>0</v>
      </c>
      <c r="K111" s="260"/>
      <c r="L111" s="949">
        <v>0</v>
      </c>
      <c r="M111" s="950">
        <v>0</v>
      </c>
      <c r="N111" s="950">
        <v>0</v>
      </c>
      <c r="O111" s="179">
        <v>4</v>
      </c>
    </row>
    <row r="112" spans="1:15" x14ac:dyDescent="0.25">
      <c r="A112" s="915" t="s">
        <v>802</v>
      </c>
      <c r="B112" s="174">
        <v>456</v>
      </c>
      <c r="C112" s="175" t="s">
        <v>817</v>
      </c>
      <c r="D112" s="175" t="s">
        <v>818</v>
      </c>
      <c r="E112" s="949">
        <v>0</v>
      </c>
      <c r="F112" s="264" t="str">
        <f t="shared" si="7"/>
        <v>Traditional OOR</v>
      </c>
      <c r="G112" s="950">
        <v>0</v>
      </c>
      <c r="H112" s="950">
        <v>0</v>
      </c>
      <c r="I112" s="950">
        <v>0</v>
      </c>
      <c r="J112" s="950">
        <v>0</v>
      </c>
      <c r="K112" s="260"/>
      <c r="L112" s="949">
        <v>0</v>
      </c>
      <c r="M112" s="950">
        <v>0</v>
      </c>
      <c r="N112" s="950">
        <v>0</v>
      </c>
      <c r="O112" s="179">
        <v>4</v>
      </c>
    </row>
    <row r="113" spans="1:15" x14ac:dyDescent="0.25">
      <c r="A113" s="915" t="s">
        <v>805</v>
      </c>
      <c r="B113" s="174">
        <v>456</v>
      </c>
      <c r="C113" s="175" t="s">
        <v>819</v>
      </c>
      <c r="D113" s="175" t="s">
        <v>820</v>
      </c>
      <c r="E113" s="949">
        <v>0</v>
      </c>
      <c r="F113" s="264" t="str">
        <f t="shared" si="7"/>
        <v>Traditional OOR</v>
      </c>
      <c r="G113" s="950">
        <v>0</v>
      </c>
      <c r="H113" s="950">
        <v>0</v>
      </c>
      <c r="I113" s="950">
        <v>0</v>
      </c>
      <c r="J113" s="950">
        <v>0</v>
      </c>
      <c r="K113" s="260"/>
      <c r="L113" s="949">
        <v>0</v>
      </c>
      <c r="M113" s="950">
        <v>0</v>
      </c>
      <c r="N113" s="950">
        <v>0</v>
      </c>
      <c r="O113" s="179">
        <v>6</v>
      </c>
    </row>
    <row r="114" spans="1:15" x14ac:dyDescent="0.25">
      <c r="A114" s="915" t="s">
        <v>808</v>
      </c>
      <c r="B114" s="174">
        <v>456</v>
      </c>
      <c r="C114" s="173" t="s">
        <v>1388</v>
      </c>
      <c r="D114" s="175" t="s">
        <v>1387</v>
      </c>
      <c r="E114" s="949">
        <v>0</v>
      </c>
      <c r="F114" s="264" t="str">
        <f>$G$2</f>
        <v>Traditional OOR</v>
      </c>
      <c r="G114" s="950">
        <v>0</v>
      </c>
      <c r="H114" s="950">
        <v>0</v>
      </c>
      <c r="I114" s="950">
        <v>0</v>
      </c>
      <c r="J114" s="950">
        <v>0</v>
      </c>
      <c r="K114" s="260"/>
      <c r="L114" s="949">
        <v>0</v>
      </c>
      <c r="M114" s="950">
        <v>0</v>
      </c>
      <c r="N114" s="950">
        <v>0</v>
      </c>
      <c r="O114" s="179">
        <v>1</v>
      </c>
    </row>
    <row r="115" spans="1:15" x14ac:dyDescent="0.25">
      <c r="A115" s="915" t="s">
        <v>811</v>
      </c>
      <c r="B115" s="174">
        <v>456</v>
      </c>
      <c r="C115" s="174">
        <v>4186911</v>
      </c>
      <c r="D115" s="190" t="s">
        <v>2090</v>
      </c>
      <c r="E115" s="949">
        <v>0</v>
      </c>
      <c r="F115" s="264" t="s">
        <v>574</v>
      </c>
      <c r="G115" s="950">
        <v>0</v>
      </c>
      <c r="H115" s="950">
        <v>0</v>
      </c>
      <c r="I115" s="950">
        <v>0</v>
      </c>
      <c r="J115" s="950">
        <v>0</v>
      </c>
      <c r="K115" s="260"/>
      <c r="L115" s="949">
        <v>0</v>
      </c>
      <c r="M115" s="950">
        <v>0</v>
      </c>
      <c r="N115" s="950">
        <v>0</v>
      </c>
      <c r="O115" s="176">
        <v>6</v>
      </c>
    </row>
    <row r="116" spans="1:15" x14ac:dyDescent="0.25">
      <c r="A116" s="915" t="s">
        <v>814</v>
      </c>
      <c r="B116" s="174">
        <v>456</v>
      </c>
      <c r="C116" s="174">
        <v>4186925</v>
      </c>
      <c r="D116" s="190" t="s">
        <v>2091</v>
      </c>
      <c r="E116" s="949">
        <v>0</v>
      </c>
      <c r="F116" s="264" t="s">
        <v>574</v>
      </c>
      <c r="G116" s="950">
        <v>0</v>
      </c>
      <c r="H116" s="950">
        <v>0</v>
      </c>
      <c r="I116" s="950">
        <v>0</v>
      </c>
      <c r="J116" s="950">
        <v>0</v>
      </c>
      <c r="K116" s="260"/>
      <c r="L116" s="949">
        <v>0</v>
      </c>
      <c r="M116" s="950">
        <v>0</v>
      </c>
      <c r="N116" s="950">
        <v>0</v>
      </c>
      <c r="O116" s="176">
        <v>6</v>
      </c>
    </row>
    <row r="117" spans="1:15" x14ac:dyDescent="0.25">
      <c r="A117" s="292"/>
      <c r="B117" s="288"/>
      <c r="C117" s="287"/>
      <c r="D117" s="289"/>
      <c r="E117" s="264"/>
      <c r="F117" s="264"/>
      <c r="G117" s="268"/>
      <c r="H117" s="266"/>
      <c r="I117" s="266"/>
      <c r="J117" s="264"/>
      <c r="K117" s="264"/>
      <c r="L117" s="266"/>
      <c r="M117" s="266"/>
      <c r="N117" s="264"/>
      <c r="O117" s="265"/>
    </row>
    <row r="118" spans="1:15" x14ac:dyDescent="0.25">
      <c r="A118" s="292"/>
      <c r="B118" s="288"/>
      <c r="C118" s="287"/>
      <c r="D118" s="289"/>
      <c r="E118" s="264"/>
      <c r="F118" s="264"/>
      <c r="G118" s="268"/>
      <c r="H118" s="266"/>
      <c r="I118" s="266"/>
      <c r="J118" s="264"/>
      <c r="K118" s="264"/>
      <c r="L118" s="266"/>
      <c r="M118" s="266"/>
      <c r="N118" s="264"/>
      <c r="O118" s="265"/>
    </row>
    <row r="119" spans="1:15" x14ac:dyDescent="0.25">
      <c r="A119" s="177">
        <v>13</v>
      </c>
      <c r="B119" s="1200" t="s">
        <v>821</v>
      </c>
      <c r="C119" s="1198"/>
      <c r="D119" s="1199"/>
      <c r="E119" s="950">
        <v>0</v>
      </c>
      <c r="F119" s="281"/>
      <c r="G119" s="950">
        <v>0</v>
      </c>
      <c r="H119" s="950">
        <v>0</v>
      </c>
      <c r="I119" s="950">
        <v>0</v>
      </c>
      <c r="J119" s="950">
        <v>0</v>
      </c>
      <c r="K119" s="281"/>
      <c r="L119" s="950">
        <v>0</v>
      </c>
      <c r="M119" s="950">
        <v>0</v>
      </c>
      <c r="N119" s="950">
        <v>0</v>
      </c>
      <c r="O119" s="166"/>
    </row>
    <row r="120" spans="1:15" ht="25.5" customHeight="1" x14ac:dyDescent="0.25">
      <c r="A120" s="177">
        <v>14</v>
      </c>
      <c r="B120" s="1192" t="s">
        <v>1243</v>
      </c>
      <c r="C120" s="1193"/>
      <c r="D120" s="1194"/>
      <c r="E120" s="949">
        <v>0</v>
      </c>
      <c r="F120" s="272"/>
      <c r="G120" s="286"/>
      <c r="H120" s="272"/>
      <c r="I120" s="272"/>
      <c r="J120" s="286"/>
      <c r="K120" s="272"/>
      <c r="L120" s="259"/>
      <c r="M120" s="259"/>
      <c r="N120" s="259"/>
      <c r="O120" s="165"/>
    </row>
    <row r="121" spans="1:15" x14ac:dyDescent="0.25">
      <c r="A121" s="180"/>
      <c r="B121" s="181"/>
      <c r="C121" s="182"/>
      <c r="D121" s="183"/>
      <c r="E121" s="259"/>
      <c r="F121" s="259"/>
      <c r="G121" s="259"/>
      <c r="H121" s="272"/>
      <c r="I121" s="272"/>
      <c r="J121" s="259"/>
      <c r="K121" s="272"/>
      <c r="L121" s="259"/>
      <c r="M121" s="259"/>
      <c r="N121" s="259"/>
      <c r="O121" s="165"/>
    </row>
    <row r="122" spans="1:15" x14ac:dyDescent="0.25">
      <c r="A122" s="177" t="s">
        <v>822</v>
      </c>
      <c r="B122" s="174">
        <v>456.1</v>
      </c>
      <c r="C122" s="178" t="s">
        <v>823</v>
      </c>
      <c r="D122" s="175" t="s">
        <v>824</v>
      </c>
      <c r="E122" s="949">
        <v>0</v>
      </c>
      <c r="F122" s="264" t="str">
        <f>$G$2</f>
        <v>Traditional OOR</v>
      </c>
      <c r="G122" s="950">
        <v>0</v>
      </c>
      <c r="H122" s="950">
        <v>0</v>
      </c>
      <c r="I122" s="950">
        <v>0</v>
      </c>
      <c r="J122" s="950">
        <v>0</v>
      </c>
      <c r="K122" s="297"/>
      <c r="L122" s="949">
        <v>0</v>
      </c>
      <c r="M122" s="950">
        <v>0</v>
      </c>
      <c r="N122" s="950">
        <v>0</v>
      </c>
      <c r="O122" s="179">
        <v>5</v>
      </c>
    </row>
    <row r="123" spans="1:15" x14ac:dyDescent="0.25">
      <c r="A123" s="177" t="s">
        <v>825</v>
      </c>
      <c r="B123" s="174">
        <v>456.1</v>
      </c>
      <c r="C123" s="178" t="s">
        <v>826</v>
      </c>
      <c r="D123" s="175" t="s">
        <v>827</v>
      </c>
      <c r="E123" s="949">
        <v>0</v>
      </c>
      <c r="F123" s="264" t="str">
        <f>$G$2</f>
        <v>Traditional OOR</v>
      </c>
      <c r="G123" s="950">
        <v>0</v>
      </c>
      <c r="H123" s="950">
        <v>0</v>
      </c>
      <c r="I123" s="950">
        <v>0</v>
      </c>
      <c r="J123" s="950">
        <v>0</v>
      </c>
      <c r="K123" s="297"/>
      <c r="L123" s="949">
        <v>0</v>
      </c>
      <c r="M123" s="950">
        <v>0</v>
      </c>
      <c r="N123" s="950">
        <v>0</v>
      </c>
      <c r="O123" s="179">
        <v>4</v>
      </c>
    </row>
    <row r="124" spans="1:15" x14ac:dyDescent="0.25">
      <c r="A124" s="177" t="s">
        <v>828</v>
      </c>
      <c r="B124" s="174">
        <v>456.1</v>
      </c>
      <c r="C124" s="178" t="s">
        <v>829</v>
      </c>
      <c r="D124" s="175" t="s">
        <v>830</v>
      </c>
      <c r="E124" s="949">
        <v>0</v>
      </c>
      <c r="F124" s="264" t="str">
        <f>$G$2</f>
        <v>Traditional OOR</v>
      </c>
      <c r="G124" s="950">
        <v>0</v>
      </c>
      <c r="H124" s="950">
        <v>0</v>
      </c>
      <c r="I124" s="950">
        <v>0</v>
      </c>
      <c r="J124" s="950">
        <v>0</v>
      </c>
      <c r="K124" s="297"/>
      <c r="L124" s="949">
        <v>0</v>
      </c>
      <c r="M124" s="950">
        <v>0</v>
      </c>
      <c r="N124" s="950">
        <v>0</v>
      </c>
      <c r="O124" s="179">
        <v>4</v>
      </c>
    </row>
    <row r="125" spans="1:15" x14ac:dyDescent="0.25">
      <c r="A125" s="177" t="s">
        <v>831</v>
      </c>
      <c r="B125" s="174">
        <v>456.1</v>
      </c>
      <c r="C125" s="178" t="s">
        <v>832</v>
      </c>
      <c r="D125" s="175" t="s">
        <v>833</v>
      </c>
      <c r="E125" s="949">
        <v>0</v>
      </c>
      <c r="F125" s="264" t="str">
        <f>$N$2</f>
        <v>Other Ratemaking</v>
      </c>
      <c r="G125" s="950">
        <v>0</v>
      </c>
      <c r="H125" s="950">
        <v>0</v>
      </c>
      <c r="I125" s="950">
        <v>0</v>
      </c>
      <c r="J125" s="950">
        <v>0</v>
      </c>
      <c r="K125" s="297"/>
      <c r="L125" s="949">
        <v>0</v>
      </c>
      <c r="M125" s="950">
        <v>0</v>
      </c>
      <c r="N125" s="950">
        <v>0</v>
      </c>
      <c r="O125" s="179">
        <v>6</v>
      </c>
    </row>
    <row r="126" spans="1:15" x14ac:dyDescent="0.25">
      <c r="A126" s="177" t="s">
        <v>834</v>
      </c>
      <c r="B126" s="174">
        <v>456.1</v>
      </c>
      <c r="C126" s="178" t="s">
        <v>835</v>
      </c>
      <c r="D126" s="175" t="s">
        <v>836</v>
      </c>
      <c r="E126" s="949">
        <v>0</v>
      </c>
      <c r="F126" s="264" t="str">
        <f>$N$2</f>
        <v>Other Ratemaking</v>
      </c>
      <c r="G126" s="950">
        <v>0</v>
      </c>
      <c r="H126" s="950">
        <v>0</v>
      </c>
      <c r="I126" s="950">
        <v>0</v>
      </c>
      <c r="J126" s="950">
        <v>0</v>
      </c>
      <c r="K126" s="297"/>
      <c r="L126" s="949">
        <v>0</v>
      </c>
      <c r="M126" s="950">
        <v>0</v>
      </c>
      <c r="N126" s="950">
        <v>0</v>
      </c>
      <c r="O126" s="179">
        <v>6</v>
      </c>
    </row>
    <row r="127" spans="1:15" x14ac:dyDescent="0.25">
      <c r="A127" s="177" t="s">
        <v>837</v>
      </c>
      <c r="B127" s="174">
        <v>456.1</v>
      </c>
      <c r="C127" s="178" t="s">
        <v>838</v>
      </c>
      <c r="D127" s="175" t="s">
        <v>839</v>
      </c>
      <c r="E127" s="949">
        <v>0</v>
      </c>
      <c r="F127" s="264" t="str">
        <f>$N$2</f>
        <v>Other Ratemaking</v>
      </c>
      <c r="G127" s="950">
        <v>0</v>
      </c>
      <c r="H127" s="950">
        <v>0</v>
      </c>
      <c r="I127" s="950">
        <v>0</v>
      </c>
      <c r="J127" s="950">
        <v>0</v>
      </c>
      <c r="K127" s="297"/>
      <c r="L127" s="949">
        <v>0</v>
      </c>
      <c r="M127" s="950">
        <v>0</v>
      </c>
      <c r="N127" s="950">
        <v>0</v>
      </c>
      <c r="O127" s="179">
        <v>6</v>
      </c>
    </row>
    <row r="128" spans="1:15" x14ac:dyDescent="0.25">
      <c r="A128" s="177" t="s">
        <v>840</v>
      </c>
      <c r="B128" s="174">
        <v>456.1</v>
      </c>
      <c r="C128" s="178" t="s">
        <v>841</v>
      </c>
      <c r="D128" s="175" t="s">
        <v>842</v>
      </c>
      <c r="E128" s="949">
        <v>0</v>
      </c>
      <c r="F128" s="264" t="str">
        <f>$G$2</f>
        <v>Traditional OOR</v>
      </c>
      <c r="G128" s="950">
        <v>0</v>
      </c>
      <c r="H128" s="950">
        <v>0</v>
      </c>
      <c r="I128" s="950">
        <v>0</v>
      </c>
      <c r="J128" s="950">
        <v>0</v>
      </c>
      <c r="K128" s="297"/>
      <c r="L128" s="949">
        <v>0</v>
      </c>
      <c r="M128" s="950">
        <v>0</v>
      </c>
      <c r="N128" s="950">
        <v>0</v>
      </c>
      <c r="O128" s="179">
        <v>5</v>
      </c>
    </row>
    <row r="129" spans="1:15" x14ac:dyDescent="0.25">
      <c r="A129" s="177" t="s">
        <v>843</v>
      </c>
      <c r="B129" s="174">
        <v>456.1</v>
      </c>
      <c r="C129" s="178" t="s">
        <v>844</v>
      </c>
      <c r="D129" s="175" t="s">
        <v>845</v>
      </c>
      <c r="E129" s="949">
        <v>0</v>
      </c>
      <c r="F129" s="264" t="str">
        <f>$G$2</f>
        <v>Traditional OOR</v>
      </c>
      <c r="G129" s="950">
        <v>0</v>
      </c>
      <c r="H129" s="950">
        <v>0</v>
      </c>
      <c r="I129" s="950">
        <v>0</v>
      </c>
      <c r="J129" s="950">
        <v>0</v>
      </c>
      <c r="K129" s="297"/>
      <c r="L129" s="949">
        <v>0</v>
      </c>
      <c r="M129" s="950">
        <v>0</v>
      </c>
      <c r="N129" s="950">
        <v>0</v>
      </c>
      <c r="O129" s="179">
        <v>4</v>
      </c>
    </row>
    <row r="130" spans="1:15" x14ac:dyDescent="0.25">
      <c r="A130" s="177" t="s">
        <v>846</v>
      </c>
      <c r="B130" s="174">
        <v>456.1</v>
      </c>
      <c r="C130" s="178" t="s">
        <v>847</v>
      </c>
      <c r="D130" s="175" t="s">
        <v>848</v>
      </c>
      <c r="E130" s="949">
        <v>0</v>
      </c>
      <c r="F130" s="264" t="str">
        <f>$G$2</f>
        <v>Traditional OOR</v>
      </c>
      <c r="G130" s="950">
        <v>0</v>
      </c>
      <c r="H130" s="950">
        <v>0</v>
      </c>
      <c r="I130" s="950">
        <v>0</v>
      </c>
      <c r="J130" s="950">
        <v>0</v>
      </c>
      <c r="K130" s="297"/>
      <c r="L130" s="949">
        <v>0</v>
      </c>
      <c r="M130" s="950">
        <v>0</v>
      </c>
      <c r="N130" s="950">
        <v>0</v>
      </c>
      <c r="O130" s="179">
        <v>4</v>
      </c>
    </row>
    <row r="131" spans="1:15" x14ac:dyDescent="0.25">
      <c r="A131" s="1095" t="s">
        <v>849</v>
      </c>
      <c r="B131" s="174">
        <v>456.1</v>
      </c>
      <c r="C131" s="178" t="s">
        <v>851</v>
      </c>
      <c r="D131" s="175" t="s">
        <v>852</v>
      </c>
      <c r="E131" s="949">
        <v>0</v>
      </c>
      <c r="F131" s="264" t="str">
        <f t="shared" ref="F131:F137" si="8">$G$2</f>
        <v>Traditional OOR</v>
      </c>
      <c r="G131" s="950">
        <v>0</v>
      </c>
      <c r="H131" s="950">
        <v>0</v>
      </c>
      <c r="I131" s="950">
        <v>0</v>
      </c>
      <c r="J131" s="950">
        <v>0</v>
      </c>
      <c r="K131" s="297"/>
      <c r="L131" s="949">
        <v>0</v>
      </c>
      <c r="M131" s="950">
        <v>0</v>
      </c>
      <c r="N131" s="950">
        <v>0</v>
      </c>
      <c r="O131" s="179">
        <v>4</v>
      </c>
    </row>
    <row r="132" spans="1:15" x14ac:dyDescent="0.25">
      <c r="A132" s="1095" t="s">
        <v>850</v>
      </c>
      <c r="B132" s="174">
        <v>456.1</v>
      </c>
      <c r="C132" s="178" t="s">
        <v>854</v>
      </c>
      <c r="D132" s="175" t="s">
        <v>855</v>
      </c>
      <c r="E132" s="949">
        <v>0</v>
      </c>
      <c r="F132" s="264" t="str">
        <f t="shared" si="8"/>
        <v>Traditional OOR</v>
      </c>
      <c r="G132" s="950">
        <v>0</v>
      </c>
      <c r="H132" s="950">
        <v>0</v>
      </c>
      <c r="I132" s="950">
        <v>0</v>
      </c>
      <c r="J132" s="950">
        <v>0</v>
      </c>
      <c r="K132" s="297"/>
      <c r="L132" s="949">
        <v>0</v>
      </c>
      <c r="M132" s="950">
        <v>0</v>
      </c>
      <c r="N132" s="950">
        <v>0</v>
      </c>
      <c r="O132" s="179">
        <v>4</v>
      </c>
    </row>
    <row r="133" spans="1:15" x14ac:dyDescent="0.25">
      <c r="A133" s="1095" t="s">
        <v>853</v>
      </c>
      <c r="B133" s="174">
        <v>456.1</v>
      </c>
      <c r="C133" s="178" t="s">
        <v>857</v>
      </c>
      <c r="D133" s="175" t="s">
        <v>858</v>
      </c>
      <c r="E133" s="949">
        <v>0</v>
      </c>
      <c r="F133" s="264" t="str">
        <f t="shared" si="8"/>
        <v>Traditional OOR</v>
      </c>
      <c r="G133" s="950">
        <v>0</v>
      </c>
      <c r="H133" s="950">
        <v>0</v>
      </c>
      <c r="I133" s="950">
        <v>0</v>
      </c>
      <c r="J133" s="950">
        <v>0</v>
      </c>
      <c r="K133" s="297"/>
      <c r="L133" s="949">
        <v>0</v>
      </c>
      <c r="M133" s="950">
        <v>0</v>
      </c>
      <c r="N133" s="950">
        <v>0</v>
      </c>
      <c r="O133" s="179">
        <v>4</v>
      </c>
    </row>
    <row r="134" spans="1:15" x14ac:dyDescent="0.25">
      <c r="A134" s="1095" t="s">
        <v>856</v>
      </c>
      <c r="B134" s="174">
        <v>456.1</v>
      </c>
      <c r="C134" s="178" t="s">
        <v>860</v>
      </c>
      <c r="D134" s="175" t="s">
        <v>861</v>
      </c>
      <c r="E134" s="949">
        <v>0</v>
      </c>
      <c r="F134" s="264" t="str">
        <f t="shared" si="8"/>
        <v>Traditional OOR</v>
      </c>
      <c r="G134" s="950">
        <v>0</v>
      </c>
      <c r="H134" s="950">
        <v>0</v>
      </c>
      <c r="I134" s="950">
        <v>0</v>
      </c>
      <c r="J134" s="950">
        <v>0</v>
      </c>
      <c r="K134" s="297"/>
      <c r="L134" s="949">
        <v>0</v>
      </c>
      <c r="M134" s="950">
        <v>0</v>
      </c>
      <c r="N134" s="950">
        <v>0</v>
      </c>
      <c r="O134" s="179">
        <v>4</v>
      </c>
    </row>
    <row r="135" spans="1:15" x14ac:dyDescent="0.25">
      <c r="A135" s="1095" t="s">
        <v>859</v>
      </c>
      <c r="B135" s="174">
        <v>456.1</v>
      </c>
      <c r="C135" s="178" t="s">
        <v>863</v>
      </c>
      <c r="D135" s="175" t="s">
        <v>864</v>
      </c>
      <c r="E135" s="949">
        <v>0</v>
      </c>
      <c r="F135" s="264" t="str">
        <f t="shared" si="8"/>
        <v>Traditional OOR</v>
      </c>
      <c r="G135" s="950">
        <v>0</v>
      </c>
      <c r="H135" s="950">
        <v>0</v>
      </c>
      <c r="I135" s="950">
        <v>0</v>
      </c>
      <c r="J135" s="950">
        <v>0</v>
      </c>
      <c r="K135" s="297"/>
      <c r="L135" s="949">
        <v>0</v>
      </c>
      <c r="M135" s="950">
        <v>0</v>
      </c>
      <c r="N135" s="950">
        <v>0</v>
      </c>
      <c r="O135" s="179">
        <v>4</v>
      </c>
    </row>
    <row r="136" spans="1:15" x14ac:dyDescent="0.25">
      <c r="A136" s="1095" t="s">
        <v>862</v>
      </c>
      <c r="B136" s="174">
        <v>456.1</v>
      </c>
      <c r="C136" s="178" t="s">
        <v>866</v>
      </c>
      <c r="D136" s="175" t="s">
        <v>867</v>
      </c>
      <c r="E136" s="949">
        <v>0</v>
      </c>
      <c r="F136" s="264" t="str">
        <f t="shared" si="8"/>
        <v>Traditional OOR</v>
      </c>
      <c r="G136" s="950">
        <v>0</v>
      </c>
      <c r="H136" s="950">
        <v>0</v>
      </c>
      <c r="I136" s="950">
        <v>0</v>
      </c>
      <c r="J136" s="950">
        <v>0</v>
      </c>
      <c r="K136" s="297"/>
      <c r="L136" s="949">
        <v>0</v>
      </c>
      <c r="M136" s="950">
        <v>0</v>
      </c>
      <c r="N136" s="950">
        <v>0</v>
      </c>
      <c r="O136" s="179">
        <v>4</v>
      </c>
    </row>
    <row r="137" spans="1:15" x14ac:dyDescent="0.25">
      <c r="A137" s="1095" t="s">
        <v>865</v>
      </c>
      <c r="B137" s="174">
        <v>456.1</v>
      </c>
      <c r="C137" s="178" t="s">
        <v>869</v>
      </c>
      <c r="D137" s="175" t="s">
        <v>870</v>
      </c>
      <c r="E137" s="949">
        <v>0</v>
      </c>
      <c r="F137" s="264" t="str">
        <f t="shared" si="8"/>
        <v>Traditional OOR</v>
      </c>
      <c r="G137" s="950">
        <v>0</v>
      </c>
      <c r="H137" s="950">
        <v>0</v>
      </c>
      <c r="I137" s="950">
        <v>0</v>
      </c>
      <c r="J137" s="950">
        <v>0</v>
      </c>
      <c r="K137" s="297"/>
      <c r="L137" s="949">
        <v>0</v>
      </c>
      <c r="M137" s="950">
        <v>0</v>
      </c>
      <c r="N137" s="950">
        <v>0</v>
      </c>
      <c r="O137" s="179">
        <v>4</v>
      </c>
    </row>
    <row r="138" spans="1:15" x14ac:dyDescent="0.25">
      <c r="A138" s="1095" t="s">
        <v>868</v>
      </c>
      <c r="B138" s="174">
        <v>456.1</v>
      </c>
      <c r="C138" s="178" t="s">
        <v>871</v>
      </c>
      <c r="D138" s="175" t="s">
        <v>872</v>
      </c>
      <c r="E138" s="949">
        <v>0</v>
      </c>
      <c r="F138" s="264" t="str">
        <f>$N$2</f>
        <v>Other Ratemaking</v>
      </c>
      <c r="G138" s="950">
        <v>0</v>
      </c>
      <c r="H138" s="950">
        <v>0</v>
      </c>
      <c r="I138" s="950">
        <v>0</v>
      </c>
      <c r="J138" s="950">
        <v>0</v>
      </c>
      <c r="K138" s="297"/>
      <c r="L138" s="949">
        <v>0</v>
      </c>
      <c r="M138" s="950">
        <v>0</v>
      </c>
      <c r="N138" s="950">
        <v>0</v>
      </c>
      <c r="O138" s="179">
        <v>6</v>
      </c>
    </row>
    <row r="139" spans="1:15" x14ac:dyDescent="0.25">
      <c r="A139" s="292"/>
      <c r="B139" s="288"/>
      <c r="C139" s="287"/>
      <c r="D139" s="289"/>
      <c r="E139" s="267"/>
      <c r="F139" s="267"/>
      <c r="G139" s="268"/>
      <c r="H139" s="266"/>
      <c r="I139" s="266"/>
      <c r="J139" s="264"/>
      <c r="K139" s="267"/>
      <c r="L139" s="266"/>
      <c r="M139" s="266"/>
      <c r="N139" s="264"/>
      <c r="O139" s="265"/>
    </row>
    <row r="140" spans="1:15" x14ac:dyDescent="0.25">
      <c r="A140" s="292"/>
      <c r="B140" s="288"/>
      <c r="C140" s="287"/>
      <c r="D140" s="289"/>
      <c r="E140" s="267"/>
      <c r="F140" s="267"/>
      <c r="G140" s="268"/>
      <c r="H140" s="266"/>
      <c r="I140" s="266"/>
      <c r="J140" s="264"/>
      <c r="K140" s="267"/>
      <c r="L140" s="266"/>
      <c r="M140" s="266"/>
      <c r="N140" s="264"/>
      <c r="O140" s="265"/>
    </row>
    <row r="141" spans="1:15" x14ac:dyDescent="0.25">
      <c r="A141" s="177">
        <v>16</v>
      </c>
      <c r="B141" s="1200" t="s">
        <v>873</v>
      </c>
      <c r="C141" s="1198"/>
      <c r="D141" s="1199"/>
      <c r="E141" s="950">
        <v>0</v>
      </c>
      <c r="F141" s="281"/>
      <c r="G141" s="950">
        <v>0</v>
      </c>
      <c r="H141" s="950">
        <v>0</v>
      </c>
      <c r="I141" s="950">
        <v>0</v>
      </c>
      <c r="J141" s="950">
        <v>0</v>
      </c>
      <c r="K141" s="281"/>
      <c r="L141" s="950">
        <v>0</v>
      </c>
      <c r="M141" s="950">
        <v>0</v>
      </c>
      <c r="N141" s="950">
        <v>0</v>
      </c>
      <c r="O141" s="166"/>
    </row>
    <row r="142" spans="1:15" ht="25.5" customHeight="1" x14ac:dyDescent="0.25">
      <c r="A142" s="177">
        <v>17</v>
      </c>
      <c r="B142" s="1192" t="s">
        <v>1238</v>
      </c>
      <c r="C142" s="1193"/>
      <c r="D142" s="1194"/>
      <c r="E142" s="949">
        <v>0</v>
      </c>
      <c r="F142" s="272"/>
      <c r="G142" s="283"/>
      <c r="H142" s="273"/>
      <c r="I142" s="273"/>
      <c r="J142" s="257"/>
      <c r="K142" s="273"/>
      <c r="L142" s="257"/>
      <c r="M142" s="257"/>
      <c r="N142" s="257"/>
      <c r="O142" s="165"/>
    </row>
    <row r="143" spans="1:15" x14ac:dyDescent="0.25">
      <c r="A143" s="180"/>
      <c r="B143" s="181"/>
      <c r="C143" s="182"/>
      <c r="D143" s="183"/>
      <c r="E143" s="257"/>
      <c r="F143" s="257"/>
      <c r="G143" s="257"/>
      <c r="H143" s="273"/>
      <c r="I143" s="273"/>
      <c r="J143" s="257"/>
      <c r="K143" s="273"/>
      <c r="L143" s="257"/>
      <c r="M143" s="257"/>
      <c r="N143" s="257"/>
      <c r="O143" s="165"/>
    </row>
    <row r="144" spans="1:15" x14ac:dyDescent="0.25">
      <c r="A144" s="292" t="s">
        <v>874</v>
      </c>
      <c r="B144" s="290"/>
      <c r="C144" s="309"/>
      <c r="D144" s="309"/>
      <c r="E144" s="310"/>
      <c r="F144" s="310"/>
      <c r="G144" s="310"/>
      <c r="H144" s="310"/>
      <c r="I144" s="310"/>
      <c r="J144" s="310"/>
      <c r="K144" s="310"/>
      <c r="L144" s="310"/>
      <c r="M144" s="310"/>
      <c r="N144" s="310"/>
      <c r="O144" s="265"/>
    </row>
    <row r="145" spans="1:15" x14ac:dyDescent="0.25">
      <c r="A145" s="292"/>
      <c r="B145" s="311"/>
      <c r="C145" s="309"/>
      <c r="D145" s="309"/>
      <c r="E145" s="310"/>
      <c r="F145" s="310"/>
      <c r="G145" s="310"/>
      <c r="H145" s="310"/>
      <c r="I145" s="310"/>
      <c r="J145" s="310"/>
      <c r="K145" s="310"/>
      <c r="L145" s="310"/>
      <c r="M145" s="310"/>
      <c r="N145" s="310"/>
      <c r="O145" s="265"/>
    </row>
    <row r="146" spans="1:15" x14ac:dyDescent="0.25">
      <c r="A146" s="173">
        <v>19</v>
      </c>
      <c r="B146" s="1200" t="s">
        <v>875</v>
      </c>
      <c r="C146" s="1198"/>
      <c r="D146" s="1199"/>
      <c r="E146" s="950">
        <v>0</v>
      </c>
      <c r="F146" s="316"/>
      <c r="G146" s="950">
        <v>0</v>
      </c>
      <c r="H146" s="950">
        <v>0</v>
      </c>
      <c r="I146" s="950">
        <v>0</v>
      </c>
      <c r="J146" s="950">
        <v>0</v>
      </c>
      <c r="K146" s="281"/>
      <c r="L146" s="950">
        <v>0</v>
      </c>
      <c r="M146" s="950">
        <v>0</v>
      </c>
      <c r="N146" s="950">
        <v>0</v>
      </c>
      <c r="O146" s="258"/>
    </row>
    <row r="147" spans="1:15" ht="26.25" customHeight="1" x14ac:dyDescent="0.25">
      <c r="A147" s="173">
        <v>20</v>
      </c>
      <c r="B147" s="1210" t="s">
        <v>1244</v>
      </c>
      <c r="C147" s="1211"/>
      <c r="D147" s="1212"/>
      <c r="E147" s="949">
        <v>0</v>
      </c>
      <c r="F147" s="257"/>
      <c r="G147" s="259"/>
      <c r="H147" s="272"/>
      <c r="I147" s="272"/>
      <c r="J147" s="259"/>
      <c r="K147" s="272"/>
      <c r="L147" s="259"/>
      <c r="M147" s="259"/>
      <c r="N147" s="259"/>
      <c r="O147" s="376"/>
    </row>
    <row r="148" spans="1:15" x14ac:dyDescent="0.25">
      <c r="A148" s="180"/>
      <c r="B148" s="181"/>
      <c r="C148" s="182"/>
      <c r="D148" s="183"/>
      <c r="E148" s="257"/>
      <c r="F148" s="257"/>
      <c r="G148" s="259"/>
      <c r="H148" s="272"/>
      <c r="I148" s="272"/>
      <c r="J148" s="259"/>
      <c r="K148" s="272"/>
      <c r="L148" s="259"/>
      <c r="M148" s="259"/>
      <c r="N148" s="259"/>
      <c r="O148" s="376"/>
    </row>
    <row r="149" spans="1:15" x14ac:dyDescent="0.25">
      <c r="A149" s="292" t="s">
        <v>876</v>
      </c>
      <c r="B149" s="290"/>
      <c r="C149" s="309"/>
      <c r="D149" s="309"/>
      <c r="E149" s="310"/>
      <c r="F149" s="310"/>
      <c r="G149" s="270"/>
      <c r="H149" s="270"/>
      <c r="I149" s="270"/>
      <c r="J149" s="270"/>
      <c r="K149" s="270"/>
      <c r="L149" s="270"/>
      <c r="M149" s="270"/>
      <c r="N149" s="270"/>
      <c r="O149" s="266"/>
    </row>
    <row r="150" spans="1:15" x14ac:dyDescent="0.25">
      <c r="A150" s="292"/>
      <c r="B150" s="311"/>
      <c r="C150" s="309"/>
      <c r="D150" s="309"/>
      <c r="E150" s="310"/>
      <c r="F150" s="310"/>
      <c r="G150" s="270"/>
      <c r="H150" s="270"/>
      <c r="I150" s="270"/>
      <c r="J150" s="270"/>
      <c r="K150" s="270"/>
      <c r="L150" s="270"/>
      <c r="M150" s="270"/>
      <c r="N150" s="270"/>
      <c r="O150" s="266"/>
    </row>
    <row r="151" spans="1:15" x14ac:dyDescent="0.25">
      <c r="A151" s="173">
        <v>22</v>
      </c>
      <c r="B151" s="1200" t="s">
        <v>877</v>
      </c>
      <c r="C151" s="1198"/>
      <c r="D151" s="1199"/>
      <c r="E151" s="950">
        <v>0</v>
      </c>
      <c r="F151" s="316"/>
      <c r="G151" s="950">
        <v>0</v>
      </c>
      <c r="H151" s="950">
        <v>0</v>
      </c>
      <c r="I151" s="950">
        <v>0</v>
      </c>
      <c r="J151" s="950">
        <v>0</v>
      </c>
      <c r="K151" s="281"/>
      <c r="L151" s="950">
        <v>0</v>
      </c>
      <c r="M151" s="950">
        <v>0</v>
      </c>
      <c r="N151" s="950">
        <v>0</v>
      </c>
      <c r="O151" s="258"/>
    </row>
    <row r="152" spans="1:15" ht="26.25" customHeight="1" x14ac:dyDescent="0.25">
      <c r="A152" s="173">
        <v>23</v>
      </c>
      <c r="B152" s="1210" t="s">
        <v>1245</v>
      </c>
      <c r="C152" s="1211"/>
      <c r="D152" s="1212"/>
      <c r="E152" s="949">
        <v>0</v>
      </c>
      <c r="F152" s="257"/>
      <c r="G152" s="257"/>
      <c r="H152" s="273"/>
      <c r="I152" s="273"/>
      <c r="J152" s="257"/>
      <c r="K152" s="273"/>
      <c r="L152" s="257"/>
      <c r="M152" s="257"/>
      <c r="N152" s="257"/>
      <c r="O152" s="165"/>
    </row>
    <row r="153" spans="1:15" x14ac:dyDescent="0.25">
      <c r="A153" s="180"/>
      <c r="B153" s="181"/>
      <c r="C153" s="182"/>
      <c r="D153" s="183"/>
      <c r="E153" s="257"/>
      <c r="F153" s="257"/>
      <c r="G153" s="257"/>
      <c r="H153" s="273"/>
      <c r="I153" s="273"/>
      <c r="J153" s="257"/>
      <c r="K153" s="273"/>
      <c r="L153" s="257"/>
      <c r="M153" s="257"/>
      <c r="N153" s="257"/>
      <c r="O153" s="165"/>
    </row>
    <row r="154" spans="1:15" x14ac:dyDescent="0.25">
      <c r="A154" s="180"/>
      <c r="B154" s="181" t="s">
        <v>878</v>
      </c>
      <c r="C154" s="182"/>
      <c r="D154" s="183"/>
      <c r="E154" s="257"/>
      <c r="F154" s="257"/>
      <c r="G154" s="257"/>
      <c r="H154" s="273"/>
      <c r="I154" s="273"/>
      <c r="J154" s="257"/>
      <c r="K154" s="273"/>
      <c r="L154" s="257"/>
      <c r="M154" s="257"/>
      <c r="N154" s="257"/>
      <c r="O154" s="165"/>
    </row>
    <row r="155" spans="1:15" x14ac:dyDescent="0.25">
      <c r="A155" s="1095" t="s">
        <v>879</v>
      </c>
      <c r="B155" s="191">
        <v>417</v>
      </c>
      <c r="C155" s="263">
        <v>4863130</v>
      </c>
      <c r="D155" s="187" t="s">
        <v>881</v>
      </c>
      <c r="E155" s="949">
        <v>0</v>
      </c>
      <c r="F155" s="264" t="str">
        <f t="shared" ref="F155:F167" si="9">$J$2</f>
        <v>GRSM</v>
      </c>
      <c r="G155" s="950">
        <v>0</v>
      </c>
      <c r="H155" s="950">
        <v>0</v>
      </c>
      <c r="I155" s="950">
        <v>0</v>
      </c>
      <c r="J155" s="950">
        <v>0</v>
      </c>
      <c r="K155" s="176" t="s">
        <v>614</v>
      </c>
      <c r="L155" s="949">
        <v>0</v>
      </c>
      <c r="M155" s="950">
        <v>0</v>
      </c>
      <c r="N155" s="950">
        <v>0</v>
      </c>
      <c r="O155" s="179">
        <v>2</v>
      </c>
    </row>
    <row r="156" spans="1:15" x14ac:dyDescent="0.25">
      <c r="A156" s="1095" t="s">
        <v>880</v>
      </c>
      <c r="B156" s="191">
        <v>417</v>
      </c>
      <c r="C156" s="263">
        <v>4862110</v>
      </c>
      <c r="D156" s="187" t="s">
        <v>883</v>
      </c>
      <c r="E156" s="949">
        <v>0</v>
      </c>
      <c r="F156" s="264" t="str">
        <f t="shared" si="9"/>
        <v>GRSM</v>
      </c>
      <c r="G156" s="950">
        <v>0</v>
      </c>
      <c r="H156" s="950">
        <v>0</v>
      </c>
      <c r="I156" s="950">
        <v>0</v>
      </c>
      <c r="J156" s="950">
        <v>0</v>
      </c>
      <c r="K156" s="176" t="s">
        <v>558</v>
      </c>
      <c r="L156" s="949">
        <v>0</v>
      </c>
      <c r="M156" s="950">
        <v>0</v>
      </c>
      <c r="N156" s="950">
        <v>0</v>
      </c>
      <c r="O156" s="179">
        <v>2</v>
      </c>
    </row>
    <row r="157" spans="1:15" x14ac:dyDescent="0.25">
      <c r="A157" s="1095" t="s">
        <v>882</v>
      </c>
      <c r="B157" s="191">
        <v>417</v>
      </c>
      <c r="C157" s="263">
        <v>4862115</v>
      </c>
      <c r="D157" s="187" t="s">
        <v>885</v>
      </c>
      <c r="E157" s="949">
        <v>0</v>
      </c>
      <c r="F157" s="264" t="str">
        <f t="shared" si="9"/>
        <v>GRSM</v>
      </c>
      <c r="G157" s="950">
        <v>0</v>
      </c>
      <c r="H157" s="950">
        <v>0</v>
      </c>
      <c r="I157" s="950">
        <v>0</v>
      </c>
      <c r="J157" s="950">
        <v>0</v>
      </c>
      <c r="K157" s="176" t="s">
        <v>558</v>
      </c>
      <c r="L157" s="949">
        <v>0</v>
      </c>
      <c r="M157" s="950">
        <v>0</v>
      </c>
      <c r="N157" s="950">
        <v>0</v>
      </c>
      <c r="O157" s="179">
        <v>2</v>
      </c>
    </row>
    <row r="158" spans="1:15" x14ac:dyDescent="0.25">
      <c r="A158" s="1095" t="s">
        <v>884</v>
      </c>
      <c r="B158" s="191">
        <v>417</v>
      </c>
      <c r="C158" s="263">
        <v>4862120</v>
      </c>
      <c r="D158" s="187" t="s">
        <v>887</v>
      </c>
      <c r="E158" s="949">
        <v>0</v>
      </c>
      <c r="F158" s="264" t="str">
        <f t="shared" si="9"/>
        <v>GRSM</v>
      </c>
      <c r="G158" s="950">
        <v>0</v>
      </c>
      <c r="H158" s="950">
        <v>0</v>
      </c>
      <c r="I158" s="950">
        <v>0</v>
      </c>
      <c r="J158" s="950">
        <v>0</v>
      </c>
      <c r="K158" s="176" t="s">
        <v>558</v>
      </c>
      <c r="L158" s="949">
        <v>0</v>
      </c>
      <c r="M158" s="950">
        <v>0</v>
      </c>
      <c r="N158" s="950">
        <v>0</v>
      </c>
      <c r="O158" s="179">
        <v>2</v>
      </c>
    </row>
    <row r="159" spans="1:15" x14ac:dyDescent="0.25">
      <c r="A159" s="1095" t="s">
        <v>886</v>
      </c>
      <c r="B159" s="191">
        <v>417</v>
      </c>
      <c r="C159" s="263">
        <v>4862135</v>
      </c>
      <c r="D159" s="187" t="s">
        <v>889</v>
      </c>
      <c r="E159" s="949">
        <v>0</v>
      </c>
      <c r="F159" s="264" t="str">
        <f t="shared" si="9"/>
        <v>GRSM</v>
      </c>
      <c r="G159" s="950">
        <v>0</v>
      </c>
      <c r="H159" s="950">
        <v>0</v>
      </c>
      <c r="I159" s="950">
        <v>0</v>
      </c>
      <c r="J159" s="950">
        <v>0</v>
      </c>
      <c r="K159" s="176" t="s">
        <v>558</v>
      </c>
      <c r="L159" s="949">
        <v>0</v>
      </c>
      <c r="M159" s="950">
        <v>0</v>
      </c>
      <c r="N159" s="950">
        <v>0</v>
      </c>
      <c r="O159" s="179">
        <v>2</v>
      </c>
    </row>
    <row r="160" spans="1:15" x14ac:dyDescent="0.25">
      <c r="A160" s="1095" t="s">
        <v>888</v>
      </c>
      <c r="B160" s="191">
        <v>417</v>
      </c>
      <c r="C160" s="263">
        <v>4864115</v>
      </c>
      <c r="D160" s="187" t="s">
        <v>892</v>
      </c>
      <c r="E160" s="949">
        <v>0</v>
      </c>
      <c r="F160" s="264" t="str">
        <f t="shared" si="9"/>
        <v>GRSM</v>
      </c>
      <c r="G160" s="950">
        <v>0</v>
      </c>
      <c r="H160" s="950">
        <v>0</v>
      </c>
      <c r="I160" s="950">
        <v>0</v>
      </c>
      <c r="J160" s="950">
        <v>0</v>
      </c>
      <c r="K160" s="176" t="s">
        <v>558</v>
      </c>
      <c r="L160" s="949">
        <v>0</v>
      </c>
      <c r="M160" s="950">
        <v>0</v>
      </c>
      <c r="N160" s="950">
        <v>0</v>
      </c>
      <c r="O160" s="179">
        <v>2</v>
      </c>
    </row>
    <row r="161" spans="1:15" x14ac:dyDescent="0.25">
      <c r="A161" s="1095" t="s">
        <v>890</v>
      </c>
      <c r="B161" s="191">
        <v>417</v>
      </c>
      <c r="C161" s="263">
        <v>4862125</v>
      </c>
      <c r="D161" s="187" t="s">
        <v>894</v>
      </c>
      <c r="E161" s="949">
        <v>0</v>
      </c>
      <c r="F161" s="264" t="str">
        <f t="shared" si="9"/>
        <v>GRSM</v>
      </c>
      <c r="G161" s="950">
        <v>0</v>
      </c>
      <c r="H161" s="950">
        <v>0</v>
      </c>
      <c r="I161" s="950">
        <v>0</v>
      </c>
      <c r="J161" s="950">
        <v>0</v>
      </c>
      <c r="K161" s="176" t="s">
        <v>558</v>
      </c>
      <c r="L161" s="949">
        <v>0</v>
      </c>
      <c r="M161" s="950">
        <v>0</v>
      </c>
      <c r="N161" s="950">
        <v>0</v>
      </c>
      <c r="O161" s="179">
        <v>2</v>
      </c>
    </row>
    <row r="162" spans="1:15" x14ac:dyDescent="0.25">
      <c r="A162" s="1095" t="s">
        <v>891</v>
      </c>
      <c r="B162" s="191">
        <v>417</v>
      </c>
      <c r="C162" s="263">
        <v>4862130</v>
      </c>
      <c r="D162" s="187" t="s">
        <v>896</v>
      </c>
      <c r="E162" s="949">
        <v>0</v>
      </c>
      <c r="F162" s="264" t="str">
        <f t="shared" si="9"/>
        <v>GRSM</v>
      </c>
      <c r="G162" s="950">
        <v>0</v>
      </c>
      <c r="H162" s="950">
        <v>0</v>
      </c>
      <c r="I162" s="950">
        <v>0</v>
      </c>
      <c r="J162" s="950">
        <v>0</v>
      </c>
      <c r="K162" s="176" t="s">
        <v>558</v>
      </c>
      <c r="L162" s="949">
        <v>0</v>
      </c>
      <c r="M162" s="950">
        <v>0</v>
      </c>
      <c r="N162" s="950">
        <v>0</v>
      </c>
      <c r="O162" s="179">
        <v>2</v>
      </c>
    </row>
    <row r="163" spans="1:15" x14ac:dyDescent="0.25">
      <c r="A163" s="1095" t="s">
        <v>893</v>
      </c>
      <c r="B163" s="191">
        <v>417</v>
      </c>
      <c r="C163" s="263">
        <v>4863120</v>
      </c>
      <c r="D163" s="187" t="s">
        <v>898</v>
      </c>
      <c r="E163" s="949">
        <v>0</v>
      </c>
      <c r="F163" s="264" t="str">
        <f t="shared" si="9"/>
        <v>GRSM</v>
      </c>
      <c r="G163" s="950">
        <v>0</v>
      </c>
      <c r="H163" s="950">
        <v>0</v>
      </c>
      <c r="I163" s="950">
        <v>0</v>
      </c>
      <c r="J163" s="950">
        <v>0</v>
      </c>
      <c r="K163" s="176" t="s">
        <v>614</v>
      </c>
      <c r="L163" s="949">
        <v>0</v>
      </c>
      <c r="M163" s="950">
        <v>0</v>
      </c>
      <c r="N163" s="950">
        <v>0</v>
      </c>
      <c r="O163" s="179">
        <v>2</v>
      </c>
    </row>
    <row r="164" spans="1:15" x14ac:dyDescent="0.25">
      <c r="A164" s="1095" t="s">
        <v>895</v>
      </c>
      <c r="B164" s="191">
        <v>417</v>
      </c>
      <c r="C164" s="263">
        <v>4863110</v>
      </c>
      <c r="D164" s="187" t="s">
        <v>900</v>
      </c>
      <c r="E164" s="949">
        <v>0</v>
      </c>
      <c r="F164" s="264" t="str">
        <f t="shared" si="9"/>
        <v>GRSM</v>
      </c>
      <c r="G164" s="950">
        <v>0</v>
      </c>
      <c r="H164" s="950">
        <v>0</v>
      </c>
      <c r="I164" s="950">
        <v>0</v>
      </c>
      <c r="J164" s="950">
        <v>0</v>
      </c>
      <c r="K164" s="176" t="s">
        <v>614</v>
      </c>
      <c r="L164" s="949">
        <v>0</v>
      </c>
      <c r="M164" s="950">
        <v>0</v>
      </c>
      <c r="N164" s="950">
        <v>0</v>
      </c>
      <c r="O164" s="179">
        <v>2</v>
      </c>
    </row>
    <row r="165" spans="1:15" x14ac:dyDescent="0.25">
      <c r="A165" s="1095" t="s">
        <v>897</v>
      </c>
      <c r="B165" s="191">
        <v>417</v>
      </c>
      <c r="C165" s="263">
        <v>4863115</v>
      </c>
      <c r="D165" s="187" t="s">
        <v>902</v>
      </c>
      <c r="E165" s="949">
        <v>0</v>
      </c>
      <c r="F165" s="264" t="str">
        <f t="shared" si="9"/>
        <v>GRSM</v>
      </c>
      <c r="G165" s="950">
        <v>0</v>
      </c>
      <c r="H165" s="950">
        <v>0</v>
      </c>
      <c r="I165" s="950">
        <v>0</v>
      </c>
      <c r="J165" s="950">
        <v>0</v>
      </c>
      <c r="K165" s="176" t="s">
        <v>614</v>
      </c>
      <c r="L165" s="949">
        <v>0</v>
      </c>
      <c r="M165" s="950">
        <v>0</v>
      </c>
      <c r="N165" s="950">
        <v>0</v>
      </c>
      <c r="O165" s="179">
        <v>2</v>
      </c>
    </row>
    <row r="166" spans="1:15" x14ac:dyDescent="0.25">
      <c r="A166" s="1095" t="s">
        <v>899</v>
      </c>
      <c r="B166" s="191">
        <v>417</v>
      </c>
      <c r="C166" s="263">
        <v>4863125</v>
      </c>
      <c r="D166" s="187" t="s">
        <v>903</v>
      </c>
      <c r="E166" s="949">
        <v>0</v>
      </c>
      <c r="F166" s="264" t="str">
        <f t="shared" si="9"/>
        <v>GRSM</v>
      </c>
      <c r="G166" s="950">
        <v>0</v>
      </c>
      <c r="H166" s="950">
        <v>0</v>
      </c>
      <c r="I166" s="950">
        <v>0</v>
      </c>
      <c r="J166" s="950">
        <v>0</v>
      </c>
      <c r="K166" s="176" t="s">
        <v>614</v>
      </c>
      <c r="L166" s="949">
        <v>0</v>
      </c>
      <c r="M166" s="950">
        <v>0</v>
      </c>
      <c r="N166" s="950">
        <v>0</v>
      </c>
      <c r="O166" s="179">
        <v>2</v>
      </c>
    </row>
    <row r="167" spans="1:15" x14ac:dyDescent="0.25">
      <c r="A167" s="1095" t="s">
        <v>901</v>
      </c>
      <c r="B167" s="191">
        <v>417</v>
      </c>
      <c r="C167" s="263">
        <v>4864120</v>
      </c>
      <c r="D167" s="187" t="s">
        <v>904</v>
      </c>
      <c r="E167" s="949">
        <v>0</v>
      </c>
      <c r="F167" s="264" t="str">
        <f t="shared" si="9"/>
        <v>GRSM</v>
      </c>
      <c r="G167" s="950">
        <v>0</v>
      </c>
      <c r="H167" s="950">
        <v>0</v>
      </c>
      <c r="I167" s="950">
        <v>0</v>
      </c>
      <c r="J167" s="950">
        <v>0</v>
      </c>
      <c r="K167" s="176" t="s">
        <v>558</v>
      </c>
      <c r="L167" s="949">
        <v>0</v>
      </c>
      <c r="M167" s="950">
        <v>0</v>
      </c>
      <c r="N167" s="950">
        <v>0</v>
      </c>
      <c r="O167" s="179">
        <v>2</v>
      </c>
    </row>
    <row r="168" spans="1:15" x14ac:dyDescent="0.25">
      <c r="A168" s="292"/>
      <c r="B168" s="290"/>
      <c r="C168" s="291"/>
      <c r="D168" s="289"/>
      <c r="E168" s="271"/>
      <c r="F168" s="271"/>
      <c r="G168" s="268"/>
      <c r="H168" s="266"/>
      <c r="I168" s="266"/>
      <c r="J168" s="264"/>
      <c r="K168" s="265"/>
      <c r="L168" s="264"/>
      <c r="M168" s="264"/>
      <c r="N168" s="264"/>
      <c r="O168" s="265"/>
    </row>
    <row r="169" spans="1:15" x14ac:dyDescent="0.25">
      <c r="A169" s="292"/>
      <c r="B169" s="290"/>
      <c r="C169" s="291"/>
      <c r="D169" s="289"/>
      <c r="E169" s="271"/>
      <c r="F169" s="271"/>
      <c r="G169" s="268"/>
      <c r="H169" s="266"/>
      <c r="I169" s="266"/>
      <c r="J169" s="264"/>
      <c r="K169" s="265"/>
      <c r="L169" s="264"/>
      <c r="M169" s="264"/>
      <c r="N169" s="264"/>
      <c r="O169" s="265"/>
    </row>
    <row r="170" spans="1:15" x14ac:dyDescent="0.25">
      <c r="A170" s="177">
        <v>25</v>
      </c>
      <c r="B170" s="1197" t="s">
        <v>905</v>
      </c>
      <c r="C170" s="1198"/>
      <c r="D170" s="1199"/>
      <c r="E170" s="950">
        <v>0</v>
      </c>
      <c r="F170" s="281"/>
      <c r="G170" s="950">
        <v>0</v>
      </c>
      <c r="H170" s="950">
        <v>0</v>
      </c>
      <c r="I170" s="950">
        <v>0</v>
      </c>
      <c r="J170" s="950">
        <v>0</v>
      </c>
      <c r="K170" s="281"/>
      <c r="L170" s="950">
        <v>0</v>
      </c>
      <c r="M170" s="950">
        <v>0</v>
      </c>
      <c r="N170" s="950">
        <v>0</v>
      </c>
      <c r="O170" s="166"/>
    </row>
    <row r="171" spans="1:15" x14ac:dyDescent="0.25">
      <c r="A171" s="177">
        <v>26</v>
      </c>
      <c r="B171" s="1197" t="s">
        <v>906</v>
      </c>
      <c r="C171" s="1198"/>
      <c r="D171" s="1199"/>
      <c r="E171" s="949">
        <v>0</v>
      </c>
      <c r="F171" s="259"/>
      <c r="G171" s="257"/>
      <c r="H171" s="273"/>
      <c r="I171" s="273"/>
      <c r="J171" s="257"/>
      <c r="K171" s="273"/>
      <c r="L171" s="257"/>
      <c r="M171" s="257"/>
      <c r="N171" s="257"/>
      <c r="O171" s="165"/>
    </row>
    <row r="172" spans="1:15" ht="25.5" customHeight="1" x14ac:dyDescent="0.25">
      <c r="A172" s="177">
        <v>27</v>
      </c>
      <c r="B172" s="1192" t="s">
        <v>1247</v>
      </c>
      <c r="C172" s="1193"/>
      <c r="D172" s="1194"/>
      <c r="E172" s="949">
        <v>0</v>
      </c>
      <c r="F172" s="312" t="s">
        <v>331</v>
      </c>
    </row>
    <row r="173" spans="1:15" x14ac:dyDescent="0.25">
      <c r="A173" s="185"/>
    </row>
    <row r="174" spans="1:15" x14ac:dyDescent="0.25">
      <c r="B174" s="33" t="s">
        <v>907</v>
      </c>
    </row>
    <row r="175" spans="1:15" x14ac:dyDescent="0.25">
      <c r="A175" s="179" t="s">
        <v>908</v>
      </c>
      <c r="B175" s="1204">
        <v>418.1</v>
      </c>
      <c r="C175" s="1205"/>
      <c r="D175" s="187" t="s">
        <v>909</v>
      </c>
      <c r="E175" s="949">
        <v>0</v>
      </c>
      <c r="F175" s="264" t="str">
        <f>$J$2</f>
        <v>GRSM</v>
      </c>
      <c r="G175" s="950">
        <v>0</v>
      </c>
      <c r="H175" s="950">
        <v>0</v>
      </c>
      <c r="I175" s="950">
        <v>0</v>
      </c>
      <c r="J175" s="950">
        <v>0</v>
      </c>
      <c r="K175" s="298" t="s">
        <v>558</v>
      </c>
      <c r="L175" s="949">
        <v>0</v>
      </c>
      <c r="M175" s="950">
        <v>0</v>
      </c>
      <c r="N175" s="950">
        <v>0</v>
      </c>
      <c r="O175" s="179" t="s">
        <v>910</v>
      </c>
    </row>
    <row r="176" spans="1:15" x14ac:dyDescent="0.25">
      <c r="A176" s="179" t="s">
        <v>911</v>
      </c>
      <c r="B176" s="1204">
        <v>418.1</v>
      </c>
      <c r="C176" s="1205"/>
      <c r="D176" s="187" t="s">
        <v>912</v>
      </c>
      <c r="E176" s="949">
        <v>0</v>
      </c>
      <c r="F176" s="264" t="str">
        <f>$J$2</f>
        <v>GRSM</v>
      </c>
      <c r="G176" s="950">
        <v>0</v>
      </c>
      <c r="H176" s="950">
        <v>0</v>
      </c>
      <c r="I176" s="950">
        <v>0</v>
      </c>
      <c r="J176" s="950">
        <v>0</v>
      </c>
      <c r="K176" s="298" t="s">
        <v>614</v>
      </c>
      <c r="L176" s="949">
        <v>0</v>
      </c>
      <c r="M176" s="950">
        <v>0</v>
      </c>
      <c r="N176" s="950">
        <v>0</v>
      </c>
      <c r="O176" s="179" t="s">
        <v>910</v>
      </c>
    </row>
    <row r="177" spans="1:15" x14ac:dyDescent="0.25">
      <c r="A177" s="179" t="s">
        <v>913</v>
      </c>
      <c r="B177" s="1204">
        <v>418.1</v>
      </c>
      <c r="C177" s="1205"/>
      <c r="D177" s="543" t="s">
        <v>1684</v>
      </c>
      <c r="E177" s="949">
        <v>0</v>
      </c>
      <c r="F177" s="1062" t="s">
        <v>573</v>
      </c>
      <c r="G177" s="950">
        <v>0</v>
      </c>
      <c r="H177" s="950">
        <v>0</v>
      </c>
      <c r="I177" s="950">
        <v>0</v>
      </c>
      <c r="J177" s="950">
        <v>0</v>
      </c>
      <c r="K177" s="544" t="s">
        <v>614</v>
      </c>
      <c r="L177" s="949">
        <v>0</v>
      </c>
      <c r="M177" s="950">
        <v>0</v>
      </c>
      <c r="N177" s="950">
        <v>0</v>
      </c>
      <c r="O177" s="541" t="s">
        <v>1685</v>
      </c>
    </row>
    <row r="178" spans="1:15" x14ac:dyDescent="0.25">
      <c r="A178" s="179" t="s">
        <v>915</v>
      </c>
      <c r="B178" s="1204">
        <v>418.1</v>
      </c>
      <c r="C178" s="1205"/>
      <c r="D178" s="187" t="s">
        <v>914</v>
      </c>
      <c r="E178" s="949">
        <v>0</v>
      </c>
      <c r="F178" s="264" t="str">
        <f>$G$2</f>
        <v>Traditional OOR</v>
      </c>
      <c r="G178" s="950">
        <v>0</v>
      </c>
      <c r="H178" s="950">
        <v>0</v>
      </c>
      <c r="I178" s="950">
        <v>0</v>
      </c>
      <c r="J178" s="950">
        <v>0</v>
      </c>
      <c r="K178" s="298"/>
      <c r="L178" s="949">
        <v>0</v>
      </c>
      <c r="M178" s="950">
        <v>0</v>
      </c>
      <c r="N178" s="950">
        <v>0</v>
      </c>
      <c r="O178" s="176">
        <v>13</v>
      </c>
    </row>
    <row r="179" spans="1:15" x14ac:dyDescent="0.25">
      <c r="A179" s="542" t="s">
        <v>1193</v>
      </c>
      <c r="B179" s="847">
        <v>418.1</v>
      </c>
      <c r="C179" s="916"/>
      <c r="D179" s="543" t="s">
        <v>1821</v>
      </c>
      <c r="E179" s="949">
        <v>0</v>
      </c>
      <c r="F179" s="264" t="str">
        <f>$G$2</f>
        <v>Traditional OOR</v>
      </c>
      <c r="G179" s="950">
        <v>0</v>
      </c>
      <c r="H179" s="950">
        <v>0</v>
      </c>
      <c r="I179" s="950">
        <v>0</v>
      </c>
      <c r="J179" s="950">
        <v>0</v>
      </c>
      <c r="K179" s="298"/>
      <c r="L179" s="949">
        <v>0</v>
      </c>
      <c r="M179" s="950">
        <v>0</v>
      </c>
      <c r="N179" s="950">
        <v>0</v>
      </c>
      <c r="O179" s="542" t="s">
        <v>2206</v>
      </c>
    </row>
    <row r="180" spans="1:15" x14ac:dyDescent="0.25">
      <c r="A180" s="265"/>
      <c r="B180" s="304"/>
      <c r="C180" s="305"/>
      <c r="D180" s="306"/>
      <c r="E180" s="267"/>
      <c r="F180" s="264"/>
      <c r="G180" s="268"/>
      <c r="H180" s="265"/>
      <c r="I180" s="266"/>
      <c r="J180" s="264"/>
      <c r="K180" s="307"/>
      <c r="L180" s="264"/>
      <c r="M180" s="308"/>
      <c r="N180" s="264"/>
      <c r="O180" s="265"/>
    </row>
    <row r="181" spans="1:15" x14ac:dyDescent="0.25">
      <c r="A181" s="265"/>
      <c r="B181" s="304"/>
      <c r="C181" s="305"/>
      <c r="D181" s="306"/>
      <c r="E181" s="267"/>
      <c r="F181" s="264"/>
      <c r="G181" s="268"/>
      <c r="H181" s="265"/>
      <c r="I181" s="266"/>
      <c r="J181" s="264"/>
      <c r="K181" s="307"/>
      <c r="L181" s="264"/>
      <c r="M181" s="308"/>
      <c r="N181" s="264"/>
      <c r="O181" s="265"/>
    </row>
    <row r="182" spans="1:15" x14ac:dyDescent="0.25">
      <c r="A182" s="179">
        <v>29</v>
      </c>
      <c r="B182" s="1197" t="s">
        <v>916</v>
      </c>
      <c r="C182" s="1198"/>
      <c r="D182" s="1199"/>
      <c r="E182" s="950">
        <v>0</v>
      </c>
      <c r="F182" s="315"/>
      <c r="G182" s="950">
        <v>0</v>
      </c>
      <c r="H182" s="950">
        <v>0</v>
      </c>
      <c r="I182" s="950">
        <v>0</v>
      </c>
      <c r="J182" s="950">
        <v>0</v>
      </c>
      <c r="K182" s="282"/>
      <c r="L182" s="950">
        <v>0</v>
      </c>
      <c r="M182" s="950">
        <v>0</v>
      </c>
      <c r="N182" s="950">
        <v>0</v>
      </c>
      <c r="O182" s="166"/>
    </row>
    <row r="183" spans="1:15" x14ac:dyDescent="0.25">
      <c r="A183" s="179">
        <v>30</v>
      </c>
      <c r="B183" s="1197" t="s">
        <v>1758</v>
      </c>
      <c r="C183" s="1207"/>
      <c r="D183" s="1208"/>
      <c r="E183" s="949">
        <v>0</v>
      </c>
      <c r="F183" s="314"/>
      <c r="G183" s="314"/>
      <c r="H183" s="314"/>
      <c r="I183" s="314"/>
      <c r="J183" s="313"/>
      <c r="K183" s="314"/>
      <c r="L183" s="313"/>
      <c r="M183" s="313"/>
      <c r="N183" s="313"/>
      <c r="O183" s="165"/>
    </row>
    <row r="184" spans="1:15" ht="25.5" customHeight="1" x14ac:dyDescent="0.25">
      <c r="A184" s="179">
        <v>31</v>
      </c>
      <c r="B184" s="1206" t="s">
        <v>1246</v>
      </c>
      <c r="C184" s="1196"/>
      <c r="D184" s="1196"/>
      <c r="E184" s="949">
        <v>0</v>
      </c>
      <c r="F184" s="314"/>
      <c r="G184" s="314"/>
      <c r="H184" s="314"/>
      <c r="I184" s="314"/>
      <c r="J184" s="313"/>
      <c r="K184" s="314"/>
      <c r="L184" s="313"/>
      <c r="M184" s="313"/>
      <c r="N184" s="313"/>
      <c r="O184" s="165"/>
    </row>
    <row r="185" spans="1:15" x14ac:dyDescent="0.25">
      <c r="A185" s="185"/>
    </row>
    <row r="186" spans="1:15" x14ac:dyDescent="0.25">
      <c r="A186" s="179">
        <v>32</v>
      </c>
      <c r="B186" s="285"/>
      <c r="C186" s="284"/>
      <c r="D186" s="196" t="s">
        <v>917</v>
      </c>
      <c r="E186" s="950">
        <v>0</v>
      </c>
      <c r="F186" s="375"/>
      <c r="G186" s="950">
        <v>0</v>
      </c>
      <c r="H186" s="950">
        <v>0</v>
      </c>
      <c r="I186" s="950">
        <v>0</v>
      </c>
      <c r="J186" s="950">
        <v>0</v>
      </c>
      <c r="K186" s="375"/>
      <c r="L186" s="950">
        <v>0</v>
      </c>
      <c r="M186" s="950">
        <v>0</v>
      </c>
      <c r="N186" s="950">
        <v>0</v>
      </c>
      <c r="O186" s="166"/>
    </row>
    <row r="187" spans="1:15" x14ac:dyDescent="0.25">
      <c r="A187" s="197"/>
      <c r="B187" s="198"/>
      <c r="C187" s="197"/>
      <c r="E187" s="185"/>
      <c r="F187" s="185"/>
      <c r="G187" s="261"/>
      <c r="J187" s="277"/>
      <c r="K187" s="276"/>
      <c r="N187" s="261"/>
    </row>
    <row r="188" spans="1:15" x14ac:dyDescent="0.25">
      <c r="A188" s="197"/>
      <c r="B188" s="198"/>
      <c r="C188" s="197"/>
      <c r="E188" s="185"/>
      <c r="F188" s="200" t="s">
        <v>155</v>
      </c>
      <c r="J188" s="277"/>
      <c r="K188" s="276"/>
      <c r="N188" s="261"/>
    </row>
    <row r="189" spans="1:15" x14ac:dyDescent="0.25">
      <c r="A189" s="179">
        <v>33</v>
      </c>
      <c r="B189" s="303"/>
      <c r="C189" s="303"/>
      <c r="D189" s="300" t="s">
        <v>918</v>
      </c>
      <c r="E189" s="950">
        <v>0</v>
      </c>
      <c r="F189" s="299" t="s">
        <v>919</v>
      </c>
      <c r="G189" s="261"/>
      <c r="N189" s="261"/>
    </row>
    <row r="190" spans="1:15" x14ac:dyDescent="0.25">
      <c r="A190" s="176">
        <v>34</v>
      </c>
      <c r="B190" s="303"/>
      <c r="C190" s="303"/>
      <c r="D190" s="300" t="s">
        <v>921</v>
      </c>
      <c r="E190" s="950">
        <v>0</v>
      </c>
      <c r="F190" s="917" t="s">
        <v>1187</v>
      </c>
      <c r="G190" s="276"/>
      <c r="N190" s="261"/>
    </row>
    <row r="191" spans="1:15" x14ac:dyDescent="0.25">
      <c r="A191" s="176">
        <v>35</v>
      </c>
      <c r="B191" s="303"/>
      <c r="C191" s="303"/>
      <c r="D191" s="301"/>
      <c r="E191" s="255"/>
      <c r="F191" s="918"/>
      <c r="G191" s="276"/>
      <c r="N191" s="261"/>
    </row>
    <row r="192" spans="1:15" x14ac:dyDescent="0.25">
      <c r="A192" s="176">
        <v>36</v>
      </c>
      <c r="B192" s="303"/>
      <c r="C192" s="303"/>
      <c r="D192" s="300" t="s">
        <v>922</v>
      </c>
      <c r="E192" s="950">
        <v>0</v>
      </c>
      <c r="F192" s="919" t="s">
        <v>923</v>
      </c>
      <c r="G192" s="276"/>
      <c r="N192" s="261"/>
    </row>
    <row r="193" spans="1:254" x14ac:dyDescent="0.25">
      <c r="A193" s="176">
        <v>37</v>
      </c>
      <c r="B193" s="294"/>
      <c r="C193" s="294"/>
      <c r="D193" s="300" t="s">
        <v>924</v>
      </c>
      <c r="E193" s="950">
        <v>0</v>
      </c>
      <c r="F193" s="59" t="str">
        <f>"= Line "&amp;A192&amp;"D * 10%"</f>
        <v>= Line 36D * 10%</v>
      </c>
      <c r="G193" s="34"/>
      <c r="H193" s="279"/>
      <c r="I193" s="280"/>
    </row>
    <row r="194" spans="1:254" x14ac:dyDescent="0.25">
      <c r="A194" s="176">
        <v>38</v>
      </c>
      <c r="B194" s="294"/>
      <c r="C194" s="294"/>
      <c r="D194" s="300" t="s">
        <v>925</v>
      </c>
      <c r="E194" s="950">
        <v>0</v>
      </c>
      <c r="F194" s="920" t="s">
        <v>926</v>
      </c>
      <c r="G194" s="34"/>
      <c r="H194" s="185"/>
      <c r="I194" s="280"/>
    </row>
    <row r="195" spans="1:254" x14ac:dyDescent="0.25">
      <c r="A195" s="176">
        <v>39</v>
      </c>
      <c r="B195" s="294"/>
      <c r="C195" s="294"/>
      <c r="D195" s="300" t="s">
        <v>927</v>
      </c>
      <c r="E195" s="950">
        <v>0</v>
      </c>
      <c r="F195" s="59" t="str">
        <f>"= Line "&amp;A194&amp;"D * 30%"</f>
        <v>= Line 38D * 30%</v>
      </c>
      <c r="G195" s="34"/>
      <c r="H195" s="279"/>
      <c r="I195" s="280"/>
    </row>
    <row r="196" spans="1:254" x14ac:dyDescent="0.25">
      <c r="A196" s="176">
        <v>40</v>
      </c>
      <c r="B196" s="294"/>
      <c r="C196" s="294"/>
      <c r="D196" s="300" t="s">
        <v>928</v>
      </c>
      <c r="E196" s="950">
        <v>0</v>
      </c>
      <c r="F196" s="59" t="str">
        <f>"= Line "&amp;A193&amp;"D + Line "&amp;A195&amp;"D"</f>
        <v>= Line 37D + Line 39D</v>
      </c>
      <c r="G196" s="275"/>
    </row>
    <row r="197" spans="1:254" x14ac:dyDescent="0.25">
      <c r="A197" s="176">
        <v>41</v>
      </c>
      <c r="B197" s="294"/>
      <c r="C197" s="294"/>
      <c r="D197" s="300" t="s">
        <v>929</v>
      </c>
      <c r="E197" s="960" t="s">
        <v>2193</v>
      </c>
      <c r="F197" s="919" t="s">
        <v>920</v>
      </c>
      <c r="G197" s="275"/>
    </row>
    <row r="198" spans="1:254" x14ac:dyDescent="0.25">
      <c r="A198" s="176">
        <v>42</v>
      </c>
      <c r="B198" s="294"/>
      <c r="C198" s="294"/>
      <c r="D198" s="300" t="s">
        <v>930</v>
      </c>
      <c r="E198" s="950">
        <v>0</v>
      </c>
      <c r="F198" s="59" t="str">
        <f>"= Line "&amp;A196&amp;"D * Line "&amp;A197&amp;"D"</f>
        <v>= Line 40D * Line 41D</v>
      </c>
      <c r="G198" s="275"/>
    </row>
    <row r="199" spans="1:254" ht="12.75" customHeight="1" x14ac:dyDescent="0.25">
      <c r="A199" s="176">
        <v>43</v>
      </c>
      <c r="B199" s="294"/>
      <c r="C199" s="294"/>
      <c r="D199" s="302" t="s">
        <v>1759</v>
      </c>
      <c r="E199" s="950">
        <v>0</v>
      </c>
      <c r="F199" s="59" t="str">
        <f>"= Line "&amp;A190&amp;"D + Line "&amp;A198&amp;"D"</f>
        <v>= Line 34D + Line 42D</v>
      </c>
      <c r="G199" s="275"/>
    </row>
    <row r="200" spans="1:254" x14ac:dyDescent="0.25">
      <c r="D200" s="275"/>
      <c r="E200" s="262"/>
      <c r="F200" s="299"/>
    </row>
    <row r="201" spans="1:254" x14ac:dyDescent="0.25">
      <c r="D201" s="194"/>
      <c r="E201" s="200" t="s">
        <v>176</v>
      </c>
      <c r="F201" s="200" t="s">
        <v>155</v>
      </c>
      <c r="G201" s="192"/>
      <c r="I201" s="195"/>
      <c r="J201" s="34"/>
      <c r="K201" s="195"/>
      <c r="L201" s="194"/>
      <c r="M201" s="200"/>
      <c r="N201" s="200"/>
      <c r="O201" s="192"/>
      <c r="P201" s="193"/>
      <c r="Q201" s="195"/>
      <c r="R201" s="194"/>
      <c r="S201" s="200"/>
      <c r="T201" s="200"/>
      <c r="U201" s="192"/>
      <c r="V201" s="193"/>
      <c r="W201" s="195"/>
      <c r="X201" s="34"/>
      <c r="Y201" s="195"/>
      <c r="Z201" s="194"/>
      <c r="AA201" s="200"/>
      <c r="AB201" s="200"/>
      <c r="AC201" s="192"/>
      <c r="AD201" s="193"/>
      <c r="AE201" s="195"/>
      <c r="AF201" s="34"/>
      <c r="AG201" s="195"/>
      <c r="AH201" s="194"/>
      <c r="AI201" s="200"/>
      <c r="AJ201" s="200"/>
      <c r="AK201" s="192"/>
      <c r="AL201" s="193"/>
      <c r="AM201" s="195"/>
      <c r="AN201" s="34"/>
      <c r="AO201" s="195"/>
      <c r="AP201" s="194"/>
      <c r="AQ201" s="200"/>
      <c r="AR201" s="200"/>
      <c r="AS201" s="192"/>
      <c r="AT201" s="193"/>
      <c r="AU201" s="195"/>
      <c r="AV201" s="34"/>
      <c r="AW201" s="195"/>
      <c r="AX201" s="194"/>
      <c r="AY201" s="200"/>
      <c r="AZ201" s="200"/>
      <c r="BA201" s="192"/>
      <c r="BB201" s="193"/>
      <c r="BC201" s="195"/>
      <c r="BD201" s="34"/>
      <c r="BE201" s="195"/>
      <c r="BF201" s="194"/>
      <c r="BG201" s="200"/>
      <c r="BH201" s="200"/>
      <c r="BI201" s="192"/>
      <c r="BJ201" s="193"/>
      <c r="BK201" s="195"/>
      <c r="BL201" s="34"/>
      <c r="BM201" s="195"/>
      <c r="BN201" s="194"/>
      <c r="BO201" s="200"/>
      <c r="BP201" s="200"/>
      <c r="BQ201" s="192"/>
      <c r="BR201" s="193"/>
      <c r="BS201" s="195"/>
      <c r="BT201" s="34"/>
      <c r="BU201" s="195"/>
      <c r="BV201" s="194"/>
      <c r="BW201" s="200"/>
      <c r="BX201" s="200"/>
      <c r="BY201" s="192"/>
      <c r="BZ201" s="193"/>
      <c r="CA201" s="195"/>
      <c r="CB201" s="34"/>
      <c r="CC201" s="195"/>
      <c r="CD201" s="194"/>
      <c r="CE201" s="200"/>
      <c r="CF201" s="200"/>
      <c r="CG201" s="192"/>
      <c r="CH201" s="193"/>
      <c r="CI201" s="195"/>
      <c r="CJ201" s="34"/>
      <c r="CK201" s="195"/>
      <c r="CL201" s="194"/>
      <c r="CM201" s="200"/>
      <c r="CN201" s="200"/>
      <c r="CO201" s="192"/>
      <c r="CP201" s="193"/>
      <c r="CQ201" s="195"/>
      <c r="CR201" s="34"/>
      <c r="CS201" s="195"/>
      <c r="CT201" s="194"/>
      <c r="CU201" s="200"/>
      <c r="CV201" s="200"/>
      <c r="CW201" s="192"/>
      <c r="CX201" s="193"/>
      <c r="CY201" s="195"/>
      <c r="CZ201" s="34"/>
      <c r="DA201" s="195"/>
      <c r="DB201" s="194"/>
      <c r="DC201" s="200"/>
      <c r="DD201" s="200"/>
      <c r="DE201" s="192"/>
      <c r="DF201" s="193"/>
      <c r="DG201" s="195"/>
      <c r="DH201" s="34"/>
      <c r="DI201" s="195"/>
      <c r="DJ201" s="194"/>
      <c r="DK201" s="200"/>
      <c r="DL201" s="200"/>
      <c r="DM201" s="192"/>
      <c r="DN201" s="193"/>
      <c r="DO201" s="195"/>
      <c r="DP201" s="34"/>
      <c r="DQ201" s="195"/>
      <c r="DR201" s="194"/>
      <c r="DS201" s="200"/>
      <c r="DT201" s="200"/>
      <c r="DU201" s="192"/>
      <c r="DV201" s="193"/>
      <c r="DW201" s="195"/>
      <c r="DX201" s="34"/>
      <c r="DY201" s="195"/>
      <c r="DZ201" s="194"/>
      <c r="EA201" s="200"/>
      <c r="EB201" s="200"/>
      <c r="EC201" s="192"/>
      <c r="ED201" s="193"/>
      <c r="EE201" s="195"/>
      <c r="EF201" s="34"/>
      <c r="EG201" s="195"/>
      <c r="EH201" s="194"/>
      <c r="EI201" s="200"/>
      <c r="EJ201" s="200"/>
      <c r="EK201" s="192"/>
      <c r="EL201" s="193"/>
      <c r="EM201" s="195"/>
      <c r="EN201" s="34"/>
      <c r="EO201" s="195"/>
      <c r="EP201" s="194"/>
      <c r="EQ201" s="200"/>
      <c r="ER201" s="200"/>
      <c r="ES201" s="192"/>
      <c r="ET201" s="193"/>
      <c r="EU201" s="195"/>
      <c r="EV201" s="34"/>
      <c r="EW201" s="195"/>
      <c r="EX201" s="194"/>
      <c r="EY201" s="200"/>
      <c r="EZ201" s="200"/>
      <c r="FA201" s="192"/>
      <c r="FB201" s="193"/>
      <c r="FC201" s="195"/>
      <c r="FD201" s="34"/>
      <c r="FE201" s="195"/>
      <c r="FF201" s="194"/>
      <c r="FG201" s="200"/>
      <c r="FH201" s="200"/>
      <c r="FI201" s="192"/>
      <c r="FJ201" s="193"/>
      <c r="FK201" s="195"/>
      <c r="FL201" s="34"/>
      <c r="FM201" s="195"/>
      <c r="FN201" s="194"/>
      <c r="FO201" s="200"/>
      <c r="FP201" s="200"/>
      <c r="FQ201" s="192"/>
      <c r="FR201" s="193"/>
      <c r="FS201" s="195"/>
      <c r="FT201" s="34"/>
      <c r="FU201" s="195"/>
      <c r="FV201" s="194"/>
      <c r="FW201" s="200"/>
      <c r="FX201" s="200"/>
      <c r="FY201" s="192"/>
      <c r="FZ201" s="193"/>
      <c r="GA201" s="195"/>
      <c r="GB201" s="34"/>
      <c r="GC201" s="195"/>
      <c r="GD201" s="194"/>
      <c r="GE201" s="200"/>
      <c r="GF201" s="200"/>
      <c r="GG201" s="192"/>
      <c r="GH201" s="193"/>
      <c r="GI201" s="195"/>
      <c r="GJ201" s="34"/>
      <c r="GK201" s="195"/>
      <c r="GL201" s="194"/>
      <c r="GM201" s="200"/>
      <c r="GN201" s="200"/>
      <c r="GO201" s="192"/>
      <c r="GP201" s="193"/>
      <c r="GQ201" s="195"/>
      <c r="GR201" s="34"/>
      <c r="GS201" s="195"/>
      <c r="GT201" s="194"/>
      <c r="GU201" s="200"/>
      <c r="GV201" s="200"/>
      <c r="GW201" s="192"/>
      <c r="GX201" s="193"/>
      <c r="GY201" s="195"/>
      <c r="GZ201" s="34"/>
      <c r="HA201" s="195"/>
      <c r="HB201" s="194"/>
      <c r="HC201" s="200"/>
      <c r="HD201" s="200"/>
      <c r="HE201" s="192"/>
      <c r="HF201" s="193"/>
      <c r="HG201" s="195"/>
      <c r="HH201" s="34"/>
      <c r="HI201" s="195"/>
      <c r="HJ201" s="194"/>
      <c r="HK201" s="200"/>
      <c r="HL201" s="200"/>
      <c r="HM201" s="192"/>
      <c r="HN201" s="193"/>
      <c r="HO201" s="195"/>
      <c r="HP201" s="34"/>
      <c r="HQ201" s="195"/>
      <c r="HR201" s="194"/>
      <c r="HS201" s="200"/>
      <c r="HT201" s="200"/>
      <c r="HU201" s="192"/>
      <c r="HV201" s="193"/>
      <c r="HW201" s="195"/>
      <c r="HX201" s="34"/>
      <c r="HY201" s="195"/>
      <c r="HZ201" s="194"/>
      <c r="IA201" s="200"/>
      <c r="IB201" s="200"/>
      <c r="IC201" s="192"/>
      <c r="ID201" s="193"/>
      <c r="IE201" s="195"/>
      <c r="IF201" s="34"/>
      <c r="IG201" s="195"/>
      <c r="IH201" s="194"/>
      <c r="II201" s="200"/>
      <c r="IJ201" s="200"/>
      <c r="IK201" s="192"/>
      <c r="IL201" s="193"/>
      <c r="IM201" s="195"/>
      <c r="IN201" s="34"/>
      <c r="IO201" s="195"/>
      <c r="IP201" s="194"/>
      <c r="IQ201" s="200"/>
      <c r="IR201" s="200"/>
      <c r="IS201" s="192"/>
      <c r="IT201" s="193"/>
    </row>
    <row r="202" spans="1:254" x14ac:dyDescent="0.25">
      <c r="A202" s="176">
        <v>44</v>
      </c>
      <c r="B202" s="33" t="s">
        <v>953</v>
      </c>
      <c r="D202" s="194"/>
      <c r="E202" s="950">
        <v>0</v>
      </c>
      <c r="F202" s="695" t="s">
        <v>2064</v>
      </c>
      <c r="G202" s="192"/>
      <c r="J202" s="33"/>
      <c r="K202" s="195"/>
      <c r="L202" s="194"/>
      <c r="M202" s="199"/>
      <c r="N202" s="201"/>
      <c r="O202" s="192"/>
      <c r="P202" s="193"/>
      <c r="Q202" s="195"/>
      <c r="R202" s="194"/>
      <c r="S202" s="199"/>
      <c r="T202" s="201"/>
      <c r="U202" s="192"/>
      <c r="V202" s="193"/>
      <c r="W202" s="179"/>
      <c r="X202" s="33"/>
      <c r="Y202" s="195"/>
      <c r="Z202" s="194"/>
      <c r="AA202" s="199"/>
      <c r="AB202" s="201"/>
      <c r="AC202" s="192"/>
      <c r="AD202" s="193"/>
      <c r="AE202" s="179"/>
      <c r="AF202" s="33"/>
      <c r="AG202" s="195"/>
      <c r="AH202" s="194"/>
      <c r="AI202" s="199"/>
      <c r="AJ202" s="201"/>
      <c r="AK202" s="192"/>
      <c r="AL202" s="193"/>
      <c r="AM202" s="179"/>
      <c r="AN202" s="33"/>
      <c r="AO202" s="195"/>
      <c r="AP202" s="194"/>
      <c r="AQ202" s="199"/>
      <c r="AR202" s="201"/>
      <c r="AS202" s="192"/>
      <c r="AT202" s="193"/>
      <c r="AU202" s="179"/>
      <c r="AV202" s="33"/>
      <c r="AW202" s="195"/>
      <c r="AX202" s="194"/>
      <c r="AY202" s="199"/>
      <c r="AZ202" s="201"/>
      <c r="BA202" s="192"/>
      <c r="BB202" s="193"/>
      <c r="BC202" s="179"/>
      <c r="BD202" s="33"/>
      <c r="BE202" s="195"/>
      <c r="BF202" s="194"/>
      <c r="BG202" s="199"/>
      <c r="BH202" s="201"/>
      <c r="BI202" s="192"/>
      <c r="BJ202" s="193"/>
      <c r="BK202" s="179"/>
      <c r="BL202" s="33"/>
      <c r="BM202" s="195"/>
      <c r="BN202" s="194"/>
      <c r="BO202" s="199"/>
      <c r="BP202" s="201"/>
      <c r="BQ202" s="192"/>
      <c r="BR202" s="193"/>
      <c r="BS202" s="179"/>
      <c r="BT202" s="33"/>
      <c r="BU202" s="195"/>
      <c r="BV202" s="194"/>
      <c r="BW202" s="199"/>
      <c r="BX202" s="201"/>
      <c r="BY202" s="192"/>
      <c r="BZ202" s="193"/>
      <c r="CA202" s="179"/>
      <c r="CB202" s="33"/>
      <c r="CC202" s="195"/>
      <c r="CD202" s="194"/>
      <c r="CE202" s="199"/>
      <c r="CF202" s="201"/>
      <c r="CG202" s="192"/>
      <c r="CH202" s="193"/>
      <c r="CI202" s="179"/>
      <c r="CJ202" s="33"/>
      <c r="CK202" s="195"/>
      <c r="CL202" s="194"/>
      <c r="CM202" s="199"/>
      <c r="CN202" s="201"/>
      <c r="CO202" s="192"/>
      <c r="CP202" s="193"/>
      <c r="CQ202" s="179"/>
      <c r="CR202" s="33"/>
      <c r="CS202" s="195"/>
      <c r="CT202" s="194"/>
      <c r="CU202" s="199"/>
      <c r="CV202" s="201"/>
      <c r="CW202" s="192"/>
      <c r="CX202" s="193"/>
      <c r="CY202" s="179"/>
      <c r="CZ202" s="33"/>
      <c r="DA202" s="195"/>
      <c r="DB202" s="194"/>
      <c r="DC202" s="199"/>
      <c r="DD202" s="201"/>
      <c r="DE202" s="192"/>
      <c r="DF202" s="193"/>
      <c r="DG202" s="179"/>
      <c r="DH202" s="33"/>
      <c r="DI202" s="195"/>
      <c r="DJ202" s="194"/>
      <c r="DK202" s="199"/>
      <c r="DL202" s="201"/>
      <c r="DM202" s="192"/>
      <c r="DN202" s="193"/>
      <c r="DO202" s="179"/>
      <c r="DP202" s="33"/>
      <c r="DQ202" s="195"/>
      <c r="DR202" s="194"/>
      <c r="DS202" s="199"/>
      <c r="DT202" s="201"/>
      <c r="DU202" s="192"/>
      <c r="DV202" s="193"/>
      <c r="DW202" s="179"/>
      <c r="DX202" s="33"/>
      <c r="DY202" s="195"/>
      <c r="DZ202" s="194"/>
      <c r="EA202" s="199"/>
      <c r="EB202" s="201"/>
      <c r="EC202" s="192"/>
      <c r="ED202" s="193"/>
      <c r="EE202" s="179"/>
      <c r="EF202" s="33"/>
      <c r="EG202" s="195"/>
      <c r="EH202" s="194"/>
      <c r="EI202" s="199"/>
      <c r="EJ202" s="201"/>
      <c r="EK202" s="192"/>
      <c r="EL202" s="193"/>
      <c r="EM202" s="179"/>
      <c r="EN202" s="33"/>
      <c r="EO202" s="195"/>
      <c r="EP202" s="194"/>
      <c r="EQ202" s="199"/>
      <c r="ER202" s="201"/>
      <c r="ES202" s="192"/>
      <c r="ET202" s="193"/>
      <c r="EU202" s="179"/>
      <c r="EV202" s="33"/>
      <c r="EW202" s="195"/>
      <c r="EX202" s="194"/>
      <c r="EY202" s="199"/>
      <c r="EZ202" s="201"/>
      <c r="FA202" s="192"/>
      <c r="FB202" s="193"/>
      <c r="FC202" s="179"/>
      <c r="FD202" s="33"/>
      <c r="FE202" s="195"/>
      <c r="FF202" s="194"/>
      <c r="FG202" s="199"/>
      <c r="FH202" s="201"/>
      <c r="FI202" s="192"/>
      <c r="FJ202" s="193"/>
      <c r="FK202" s="179"/>
      <c r="FL202" s="33"/>
      <c r="FM202" s="195"/>
      <c r="FN202" s="194"/>
      <c r="FO202" s="199"/>
      <c r="FP202" s="201"/>
      <c r="FQ202" s="192"/>
      <c r="FR202" s="193"/>
      <c r="FS202" s="179"/>
      <c r="FT202" s="33"/>
      <c r="FU202" s="195"/>
      <c r="FV202" s="194"/>
      <c r="FW202" s="199"/>
      <c r="FX202" s="201"/>
      <c r="FY202" s="192"/>
      <c r="FZ202" s="193"/>
      <c r="GA202" s="179"/>
      <c r="GB202" s="33"/>
      <c r="GC202" s="195"/>
      <c r="GD202" s="194"/>
      <c r="GE202" s="199"/>
      <c r="GF202" s="201"/>
      <c r="GG202" s="192"/>
      <c r="GH202" s="193"/>
      <c r="GI202" s="179"/>
      <c r="GJ202" s="33"/>
      <c r="GK202" s="195"/>
      <c r="GL202" s="194"/>
      <c r="GM202" s="199"/>
      <c r="GN202" s="201"/>
      <c r="GO202" s="192"/>
      <c r="GP202" s="193"/>
      <c r="GQ202" s="179"/>
      <c r="GR202" s="33"/>
      <c r="GS202" s="195"/>
      <c r="GT202" s="194"/>
      <c r="GU202" s="199"/>
      <c r="GV202" s="201"/>
      <c r="GW202" s="192"/>
      <c r="GX202" s="193"/>
      <c r="GY202" s="179"/>
      <c r="GZ202" s="33"/>
      <c r="HA202" s="195"/>
      <c r="HB202" s="194"/>
      <c r="HC202" s="199"/>
      <c r="HD202" s="201"/>
      <c r="HE202" s="192"/>
      <c r="HF202" s="193"/>
      <c r="HG202" s="179"/>
      <c r="HH202" s="33"/>
      <c r="HI202" s="195"/>
      <c r="HJ202" s="194"/>
      <c r="HK202" s="199"/>
      <c r="HL202" s="201"/>
      <c r="HM202" s="192"/>
      <c r="HN202" s="193"/>
      <c r="HO202" s="179"/>
      <c r="HP202" s="33"/>
      <c r="HQ202" s="195"/>
      <c r="HR202" s="194"/>
      <c r="HS202" s="199"/>
      <c r="HT202" s="201"/>
      <c r="HU202" s="192"/>
      <c r="HV202" s="193"/>
      <c r="HW202" s="179"/>
      <c r="HX202" s="33"/>
      <c r="HY202" s="195"/>
      <c r="HZ202" s="194"/>
      <c r="IA202" s="199"/>
      <c r="IB202" s="201"/>
      <c r="IC202" s="192"/>
      <c r="ID202" s="193"/>
      <c r="IE202" s="179"/>
      <c r="IF202" s="33"/>
      <c r="IG202" s="195"/>
      <c r="IH202" s="194"/>
      <c r="II202" s="199"/>
      <c r="IJ202" s="201"/>
      <c r="IK202" s="192"/>
      <c r="IL202" s="193"/>
      <c r="IM202" s="179"/>
      <c r="IN202" s="33"/>
      <c r="IO202" s="195"/>
      <c r="IP202" s="194"/>
      <c r="IQ202" s="199"/>
      <c r="IR202" s="201"/>
      <c r="IS202" s="192"/>
      <c r="IT202" s="193"/>
    </row>
    <row r="204" spans="1:254" x14ac:dyDescent="0.25">
      <c r="A204" s="195" t="s">
        <v>233</v>
      </c>
    </row>
    <row r="205" spans="1:254" ht="12.75" customHeight="1" x14ac:dyDescent="0.25">
      <c r="A205" s="78" t="s">
        <v>931</v>
      </c>
      <c r="B205" s="1213" t="s">
        <v>1480</v>
      </c>
      <c r="C205" s="1214"/>
      <c r="D205" s="1214"/>
    </row>
    <row r="206" spans="1:254" ht="77.25" customHeight="1" x14ac:dyDescent="0.25">
      <c r="A206" s="78" t="s">
        <v>932</v>
      </c>
      <c r="B206" s="1186" t="s">
        <v>1839</v>
      </c>
      <c r="C206" s="1187"/>
      <c r="D206" s="1187"/>
      <c r="E206" s="1188"/>
      <c r="F206" s="1188"/>
    </row>
    <row r="207" spans="1:254" ht="12.75" customHeight="1" x14ac:dyDescent="0.25">
      <c r="A207" s="78" t="s">
        <v>933</v>
      </c>
      <c r="B207" s="1201" t="s">
        <v>934</v>
      </c>
      <c r="C207" s="1202"/>
      <c r="D207" s="1202"/>
      <c r="E207" s="1203"/>
      <c r="F207" s="1203"/>
    </row>
    <row r="208" spans="1:254" ht="12.75" customHeight="1" x14ac:dyDescent="0.25">
      <c r="A208" s="65" t="s">
        <v>935</v>
      </c>
      <c r="B208" s="1186" t="s">
        <v>1522</v>
      </c>
      <c r="C208" s="1202"/>
      <c r="D208" s="1202"/>
      <c r="E208" s="1203"/>
      <c r="F208" s="1203"/>
    </row>
    <row r="209" spans="1:8" ht="12.75" customHeight="1" x14ac:dyDescent="0.25">
      <c r="A209" s="78" t="s">
        <v>936</v>
      </c>
      <c r="B209" s="1201" t="s">
        <v>937</v>
      </c>
      <c r="C209" s="1202"/>
      <c r="D209" s="1202"/>
      <c r="E209" s="1203"/>
      <c r="F209" s="1203"/>
    </row>
    <row r="210" spans="1:8" ht="12.75" customHeight="1" x14ac:dyDescent="0.25">
      <c r="A210" s="65" t="s">
        <v>938</v>
      </c>
      <c r="B210" s="1201" t="s">
        <v>939</v>
      </c>
      <c r="C210" s="1202"/>
      <c r="D210" s="1202"/>
      <c r="E210" s="1203"/>
      <c r="F210" s="1203"/>
    </row>
    <row r="211" spans="1:8" ht="12.75" customHeight="1" x14ac:dyDescent="0.25">
      <c r="A211" s="65" t="s">
        <v>940</v>
      </c>
      <c r="B211" s="1186" t="s">
        <v>1729</v>
      </c>
      <c r="C211" s="1187"/>
      <c r="D211" s="1187"/>
      <c r="E211" s="1209"/>
      <c r="F211" s="1209"/>
    </row>
    <row r="212" spans="1:8" ht="12.75" customHeight="1" x14ac:dyDescent="0.25">
      <c r="A212" s="65"/>
      <c r="B212" s="1209"/>
      <c r="C212" s="1209"/>
      <c r="D212" s="1209"/>
      <c r="E212" s="1209"/>
      <c r="F212" s="1209"/>
    </row>
    <row r="213" spans="1:8" ht="12.75" customHeight="1" x14ac:dyDescent="0.25">
      <c r="A213" s="65"/>
      <c r="B213" s="1201" t="s">
        <v>941</v>
      </c>
      <c r="C213" s="1202"/>
      <c r="D213" s="966" t="s">
        <v>2193</v>
      </c>
      <c r="E213" s="921" t="s">
        <v>1755</v>
      </c>
      <c r="F213" s="964" t="s">
        <v>77</v>
      </c>
      <c r="G213" s="563"/>
    </row>
    <row r="214" spans="1:8" ht="26.25" customHeight="1" x14ac:dyDescent="0.25">
      <c r="A214" s="65" t="s">
        <v>942</v>
      </c>
      <c r="B214" s="1201" t="s">
        <v>943</v>
      </c>
      <c r="C214" s="1202"/>
      <c r="D214" s="1202"/>
      <c r="E214" s="1203"/>
      <c r="F214" s="1203"/>
    </row>
    <row r="215" spans="1:8" ht="27.75" customHeight="1" x14ac:dyDescent="0.25">
      <c r="A215" s="65" t="s">
        <v>944</v>
      </c>
      <c r="B215" s="1201" t="s">
        <v>945</v>
      </c>
      <c r="C215" s="1202"/>
      <c r="D215" s="1202"/>
      <c r="E215" s="1203"/>
      <c r="F215" s="1203"/>
    </row>
    <row r="216" spans="1:8" ht="25.5" customHeight="1" x14ac:dyDescent="0.25">
      <c r="A216" s="78" t="s">
        <v>946</v>
      </c>
      <c r="B216" s="1201" t="s">
        <v>947</v>
      </c>
      <c r="C216" s="1202"/>
      <c r="D216" s="1202"/>
      <c r="E216" s="1203"/>
      <c r="F216" s="1203"/>
    </row>
    <row r="217" spans="1:8" ht="39.9" customHeight="1" x14ac:dyDescent="0.25">
      <c r="A217" s="65" t="s">
        <v>948</v>
      </c>
      <c r="B217" s="1186" t="s">
        <v>1756</v>
      </c>
      <c r="C217" s="1187"/>
      <c r="D217" s="1187"/>
      <c r="E217" s="1188"/>
      <c r="F217" s="1188"/>
      <c r="G217" s="275"/>
    </row>
    <row r="218" spans="1:8" ht="26.1" customHeight="1" x14ac:dyDescent="0.25">
      <c r="A218" s="65" t="s">
        <v>949</v>
      </c>
      <c r="B218" s="1186" t="s">
        <v>1730</v>
      </c>
      <c r="C218" s="1187"/>
      <c r="D218" s="1187"/>
      <c r="E218" s="1209"/>
      <c r="F218" s="1209"/>
      <c r="G218" s="1209"/>
    </row>
    <row r="219" spans="1:8" ht="12.75" customHeight="1" x14ac:dyDescent="0.25">
      <c r="A219" s="65"/>
      <c r="B219" s="1201" t="s">
        <v>941</v>
      </c>
      <c r="C219" s="1202"/>
      <c r="D219" s="966" t="s">
        <v>2193</v>
      </c>
      <c r="E219" s="921" t="s">
        <v>1755</v>
      </c>
      <c r="F219" s="963" t="s">
        <v>77</v>
      </c>
      <c r="G219" s="563"/>
    </row>
    <row r="220" spans="1:8" ht="12.75" customHeight="1" x14ac:dyDescent="0.25">
      <c r="A220" s="65" t="s">
        <v>950</v>
      </c>
      <c r="B220" s="1186" t="s">
        <v>2062</v>
      </c>
      <c r="C220" s="1187"/>
      <c r="D220" s="1187"/>
      <c r="E220" s="1209"/>
      <c r="F220" s="1209"/>
      <c r="G220" s="1209"/>
      <c r="H220" s="1209"/>
    </row>
    <row r="221" spans="1:8" ht="12.75" customHeight="1" x14ac:dyDescent="0.25">
      <c r="A221" s="65" t="s">
        <v>951</v>
      </c>
      <c r="B221" s="1186" t="s">
        <v>2063</v>
      </c>
      <c r="C221" s="1187"/>
      <c r="D221" s="1187"/>
      <c r="E221" s="1209"/>
      <c r="F221" s="1209"/>
      <c r="G221" s="1209"/>
    </row>
    <row r="222" spans="1:8" ht="25.5" customHeight="1" x14ac:dyDescent="0.25">
      <c r="A222" s="545" t="s">
        <v>1686</v>
      </c>
      <c r="B222" s="1186" t="s">
        <v>1771</v>
      </c>
      <c r="C222" s="1187"/>
      <c r="D222" s="1187"/>
      <c r="E222" s="1188"/>
      <c r="F222" s="1188"/>
      <c r="G222" s="275"/>
    </row>
    <row r="223" spans="1:8" x14ac:dyDescent="0.25">
      <c r="A223" s="545" t="s">
        <v>1757</v>
      </c>
      <c r="B223" s="524" t="s">
        <v>1798</v>
      </c>
      <c r="C223" s="34"/>
      <c r="E223" s="34"/>
      <c r="F223" s="34"/>
      <c r="G223" s="275"/>
    </row>
    <row r="224" spans="1:8" x14ac:dyDescent="0.25">
      <c r="A224" s="545" t="s">
        <v>1777</v>
      </c>
      <c r="B224" s="524" t="s">
        <v>1822</v>
      </c>
      <c r="C224" s="34"/>
      <c r="E224" s="275"/>
      <c r="F224" s="275"/>
      <c r="G224" s="275"/>
    </row>
    <row r="225" spans="1:7" x14ac:dyDescent="0.25">
      <c r="A225" s="34"/>
      <c r="B225" s="524" t="s">
        <v>1823</v>
      </c>
      <c r="C225" s="34"/>
      <c r="E225" s="275"/>
      <c r="F225" s="275"/>
      <c r="G225" s="275"/>
    </row>
    <row r="226" spans="1:7" x14ac:dyDescent="0.25">
      <c r="A226" s="34"/>
      <c r="B226" s="524" t="s">
        <v>1824</v>
      </c>
      <c r="C226" s="34"/>
      <c r="E226" s="275"/>
      <c r="F226" s="275"/>
      <c r="G226" s="275"/>
    </row>
    <row r="227" spans="1:7" x14ac:dyDescent="0.25">
      <c r="A227" s="34"/>
      <c r="B227" s="524" t="s">
        <v>1825</v>
      </c>
      <c r="C227" s="34"/>
      <c r="E227" s="275"/>
      <c r="F227" s="275"/>
      <c r="G227" s="275"/>
    </row>
  </sheetData>
  <autoFilter ref="A1:O223"/>
  <mergeCells count="45">
    <mergeCell ref="B220:H220"/>
    <mergeCell ref="B221:G221"/>
    <mergeCell ref="B119:D119"/>
    <mergeCell ref="B216:F216"/>
    <mergeCell ref="B217:F217"/>
    <mergeCell ref="B219:C219"/>
    <mergeCell ref="B218:G218"/>
    <mergeCell ref="B147:D147"/>
    <mergeCell ref="B170:D170"/>
    <mergeCell ref="B152:D152"/>
    <mergeCell ref="B205:D205"/>
    <mergeCell ref="B146:D146"/>
    <mergeCell ref="B141:D141"/>
    <mergeCell ref="B213:C213"/>
    <mergeCell ref="B211:F212"/>
    <mergeCell ref="B215:F215"/>
    <mergeCell ref="B206:F206"/>
    <mergeCell ref="B175:C175"/>
    <mergeCell ref="B176:C176"/>
    <mergeCell ref="B178:C178"/>
    <mergeCell ref="B182:D182"/>
    <mergeCell ref="B184:D184"/>
    <mergeCell ref="B183:D183"/>
    <mergeCell ref="B177:C177"/>
    <mergeCell ref="B207:F207"/>
    <mergeCell ref="B208:F208"/>
    <mergeCell ref="B210:F210"/>
    <mergeCell ref="B209:F209"/>
    <mergeCell ref="B214:F214"/>
    <mergeCell ref="B222:F222"/>
    <mergeCell ref="J2:M2"/>
    <mergeCell ref="G2:I2"/>
    <mergeCell ref="B172:D172"/>
    <mergeCell ref="B142:D142"/>
    <mergeCell ref="B65:D65"/>
    <mergeCell ref="B36:D36"/>
    <mergeCell ref="B31:D31"/>
    <mergeCell ref="B171:D171"/>
    <mergeCell ref="B151:D151"/>
    <mergeCell ref="B8:D8"/>
    <mergeCell ref="B9:D9"/>
    <mergeCell ref="B35:D35"/>
    <mergeCell ref="B30:D30"/>
    <mergeCell ref="B64:D64"/>
    <mergeCell ref="B120:D120"/>
  </mergeCells>
  <conditionalFormatting sqref="A209:A210 C148:C150 D70 C143:C145 C224:C65533 A214:A215 A217:A220 C186:C200 A222:A223 C203:C204 C2:C7 C32:C34 C37:C63 C66:C118 C121:C140 C152:C159 C28:C29 C10:C24">
    <cfRule type="cellIs" dxfId="6" priority="7" stopIfTrue="1" operator="between">
      <formula>4990000</formula>
      <formula>4999999</formula>
    </cfRule>
  </conditionalFormatting>
  <conditionalFormatting sqref="A221">
    <cfRule type="cellIs" dxfId="5" priority="6" stopIfTrue="1" operator="between">
      <formula>4990000</formula>
      <formula>4999999</formula>
    </cfRule>
  </conditionalFormatting>
  <conditionalFormatting sqref="A211:A213">
    <cfRule type="cellIs" dxfId="4" priority="5" stopIfTrue="1" operator="between">
      <formula>4990000</formula>
      <formula>4999999</formula>
    </cfRule>
  </conditionalFormatting>
  <conditionalFormatting sqref="K201:K202 Q201:Q202 Y201:Y202 AG201:AG202 AO201:AO202 AW201:AW202 BE201:BE202 BM201:BM202 BU201:BU202 CC201:CC202 CK201:CK202 CS201:CS202 DA201:DA202 DI201:DI202 DQ201:DQ202 DY201:DY202 EG201:EG202 EO201:EO202 EW201:EW202 FE201:FE202 FM201:FM202 FU201:FU202 GC201:GC202 GK201:GK202 GS201:GS202 HA201:HA202 HI201:HI202 HQ201:HQ202 HY201:HY202 IG201:IG202 IO201:IO202">
    <cfRule type="cellIs" dxfId="3" priority="4" stopIfTrue="1" operator="between">
      <formula>4990000</formula>
      <formula>4999999</formula>
    </cfRule>
  </conditionalFormatting>
  <conditionalFormatting sqref="C201:C202">
    <cfRule type="cellIs" dxfId="2" priority="3" stopIfTrue="1" operator="between">
      <formula>4990000</formula>
      <formula>4999999</formula>
    </cfRule>
  </conditionalFormatting>
  <conditionalFormatting sqref="A224">
    <cfRule type="cellIs" dxfId="1" priority="2" stopIfTrue="1" operator="between">
      <formula>4990000</formula>
      <formula>4999999</formula>
    </cfRule>
  </conditionalFormatting>
  <conditionalFormatting sqref="C25:C27">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5" max="16383" man="1"/>
    <brk id="120" max="16383" man="1"/>
    <brk id="17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85" zoomScaleNormal="85" workbookViewId="0"/>
  </sheetViews>
  <sheetFormatPr defaultRowHeight="13.2" x14ac:dyDescent="0.25"/>
  <cols>
    <col min="1" max="1" width="4.6640625" style="54" customWidth="1"/>
    <col min="2" max="2" width="14" customWidth="1"/>
    <col min="3" max="3" width="26.88671875" customWidth="1"/>
    <col min="4" max="4" width="28.5546875" customWidth="1"/>
    <col min="5" max="5" width="16.33203125" bestFit="1" customWidth="1"/>
    <col min="6" max="6" width="20.6640625" style="338" customWidth="1"/>
    <col min="7" max="7" width="9.6640625" customWidth="1"/>
  </cols>
  <sheetData>
    <row r="1" spans="1:7" x14ac:dyDescent="0.25">
      <c r="A1" s="75" t="s">
        <v>1072</v>
      </c>
      <c r="C1" s="75"/>
      <c r="D1" s="75"/>
      <c r="E1" s="75"/>
    </row>
    <row r="2" spans="1:7" x14ac:dyDescent="0.25">
      <c r="A2" s="75"/>
      <c r="C2" s="75"/>
      <c r="D2" s="75"/>
      <c r="E2" s="850" t="s">
        <v>1736</v>
      </c>
      <c r="F2" s="216" t="s">
        <v>1388</v>
      </c>
    </row>
    <row r="3" spans="1:7" x14ac:dyDescent="0.25">
      <c r="B3" s="75" t="s">
        <v>1104</v>
      </c>
      <c r="C3" s="75"/>
      <c r="D3" s="75"/>
      <c r="E3" s="75"/>
    </row>
    <row r="4" spans="1:7" ht="14.4" x14ac:dyDescent="0.3">
      <c r="A4" s="44" t="s">
        <v>332</v>
      </c>
      <c r="C4" s="75"/>
      <c r="E4" s="3" t="s">
        <v>963</v>
      </c>
      <c r="F4" s="339" t="s">
        <v>169</v>
      </c>
    </row>
    <row r="5" spans="1:7" ht="14.4" x14ac:dyDescent="0.3">
      <c r="A5" s="210">
        <v>1</v>
      </c>
      <c r="B5" s="43" t="s">
        <v>1073</v>
      </c>
      <c r="C5" s="43"/>
      <c r="D5" s="340"/>
      <c r="E5" s="932">
        <v>0</v>
      </c>
      <c r="F5" s="972" t="s">
        <v>213</v>
      </c>
    </row>
    <row r="6" spans="1:7" ht="15.6" x14ac:dyDescent="0.4">
      <c r="A6" s="210">
        <v>2</v>
      </c>
      <c r="B6" s="443" t="s">
        <v>2440</v>
      </c>
      <c r="C6" s="340"/>
      <c r="D6" s="340"/>
      <c r="E6" s="1060">
        <v>0</v>
      </c>
      <c r="F6" s="972" t="s">
        <v>2354</v>
      </c>
    </row>
    <row r="7" spans="1:7" ht="14.4" x14ac:dyDescent="0.3">
      <c r="A7" s="210">
        <v>3</v>
      </c>
      <c r="B7" s="526" t="s">
        <v>2441</v>
      </c>
      <c r="C7" s="43"/>
      <c r="D7" s="43"/>
      <c r="E7" s="959">
        <v>0</v>
      </c>
      <c r="F7" s="447" t="s">
        <v>1233</v>
      </c>
    </row>
    <row r="8" spans="1:7" ht="14.4" x14ac:dyDescent="0.3">
      <c r="A8" s="341"/>
      <c r="B8" s="342"/>
      <c r="C8" s="343"/>
      <c r="D8" s="343"/>
      <c r="E8" s="344"/>
      <c r="F8" s="974"/>
      <c r="G8" s="329"/>
    </row>
    <row r="9" spans="1:7" ht="14.4" x14ac:dyDescent="0.3">
      <c r="A9" s="341"/>
      <c r="B9" s="75" t="s">
        <v>1105</v>
      </c>
      <c r="C9" s="343"/>
      <c r="D9" s="343"/>
      <c r="E9" s="344"/>
      <c r="F9" s="973"/>
      <c r="G9" s="329"/>
    </row>
    <row r="10" spans="1:7" ht="14.4" x14ac:dyDescent="0.3">
      <c r="A10" s="345"/>
      <c r="B10" s="43"/>
      <c r="C10" s="43"/>
      <c r="D10" s="43"/>
      <c r="E10" s="51"/>
      <c r="F10" s="973"/>
      <c r="G10" s="329"/>
    </row>
    <row r="11" spans="1:7" ht="14.4" x14ac:dyDescent="0.3">
      <c r="A11" s="345">
        <v>4</v>
      </c>
      <c r="B11" s="43" t="s">
        <v>1073</v>
      </c>
      <c r="C11" s="43"/>
      <c r="D11" s="43"/>
      <c r="E11" s="932">
        <v>0</v>
      </c>
      <c r="F11" s="972" t="s">
        <v>284</v>
      </c>
      <c r="G11" s="329"/>
    </row>
    <row r="12" spans="1:7" ht="15.6" x14ac:dyDescent="0.4">
      <c r="A12" s="345">
        <v>5</v>
      </c>
      <c r="B12" s="43" t="s">
        <v>1074</v>
      </c>
      <c r="C12" s="43"/>
      <c r="D12" s="43"/>
      <c r="E12" s="1061">
        <v>0</v>
      </c>
      <c r="F12" s="972" t="s">
        <v>2355</v>
      </c>
      <c r="G12" s="329"/>
    </row>
    <row r="13" spans="1:7" ht="14.4" x14ac:dyDescent="0.3">
      <c r="A13" s="345">
        <v>6</v>
      </c>
      <c r="B13" s="443" t="s">
        <v>2441</v>
      </c>
      <c r="C13" s="43"/>
      <c r="D13" s="43"/>
      <c r="E13" s="959">
        <v>0</v>
      </c>
      <c r="F13" s="447" t="s">
        <v>1075</v>
      </c>
      <c r="G13" s="329"/>
    </row>
    <row r="14" spans="1:7" ht="14.4" x14ac:dyDescent="0.3">
      <c r="A14" s="210"/>
      <c r="B14" s="43"/>
      <c r="C14" s="43"/>
      <c r="D14" s="43"/>
      <c r="E14" s="51"/>
      <c r="F14" s="972"/>
    </row>
    <row r="15" spans="1:7" ht="15.6" x14ac:dyDescent="0.4">
      <c r="A15" s="210">
        <v>7</v>
      </c>
      <c r="B15" s="43" t="s">
        <v>1076</v>
      </c>
      <c r="C15" s="43"/>
      <c r="D15" s="43"/>
      <c r="E15" s="1061">
        <v>0</v>
      </c>
      <c r="F15" s="447" t="str">
        <f>"(Line "&amp;A5&amp;" + Line "&amp;A11&amp;") / 2"</f>
        <v>(Line 1 + Line 4) / 2</v>
      </c>
      <c r="G15" s="346"/>
    </row>
    <row r="16" spans="1:7" ht="14.4" x14ac:dyDescent="0.3">
      <c r="A16" s="210"/>
      <c r="B16" s="340"/>
      <c r="C16" s="347"/>
      <c r="D16" s="348"/>
      <c r="E16" s="349"/>
      <c r="F16" s="972"/>
    </row>
    <row r="17" spans="1:6" ht="14.4" x14ac:dyDescent="0.3">
      <c r="A17" s="210">
        <v>8</v>
      </c>
      <c r="B17" s="340" t="s">
        <v>1077</v>
      </c>
      <c r="C17" s="347"/>
      <c r="D17" s="347"/>
      <c r="E17" s="932">
        <v>0</v>
      </c>
      <c r="F17" s="972" t="s">
        <v>957</v>
      </c>
    </row>
    <row r="18" spans="1:6" ht="15.6" x14ac:dyDescent="0.4">
      <c r="A18" s="210">
        <v>9</v>
      </c>
      <c r="B18" s="340" t="s">
        <v>1078</v>
      </c>
      <c r="C18" s="347"/>
      <c r="D18" s="347"/>
      <c r="E18" s="1060">
        <v>0</v>
      </c>
      <c r="F18" s="972" t="s">
        <v>2356</v>
      </c>
    </row>
    <row r="19" spans="1:6" ht="14.4" x14ac:dyDescent="0.3">
      <c r="A19" s="210">
        <v>10</v>
      </c>
      <c r="B19" s="443" t="s">
        <v>2442</v>
      </c>
      <c r="C19" s="347"/>
      <c r="D19" s="347"/>
      <c r="E19" s="959">
        <v>0</v>
      </c>
      <c r="F19" s="447" t="s">
        <v>1079</v>
      </c>
    </row>
    <row r="20" spans="1:6" x14ac:dyDescent="0.25">
      <c r="C20" s="53"/>
      <c r="D20" s="53"/>
    </row>
    <row r="21" spans="1:6" x14ac:dyDescent="0.25">
      <c r="C21" s="53"/>
      <c r="D21" s="53"/>
    </row>
    <row r="22" spans="1:6" x14ac:dyDescent="0.25">
      <c r="A22" s="44" t="s">
        <v>233</v>
      </c>
    </row>
    <row r="23" spans="1:6" x14ac:dyDescent="0.25">
      <c r="A23" s="54">
        <v>1</v>
      </c>
      <c r="B23" s="11" t="s">
        <v>1103</v>
      </c>
    </row>
    <row r="24" spans="1:6" x14ac:dyDescent="0.25">
      <c r="A24" s="54">
        <v>2</v>
      </c>
      <c r="B24" s="11" t="s">
        <v>1106</v>
      </c>
    </row>
    <row r="25" spans="1:6" x14ac:dyDescent="0.25">
      <c r="A25" s="54">
        <v>3</v>
      </c>
      <c r="B25" t="s">
        <v>1683</v>
      </c>
    </row>
    <row r="26" spans="1:6" x14ac:dyDescent="0.25">
      <c r="A26" s="54">
        <v>4</v>
      </c>
      <c r="B26" t="s">
        <v>2013</v>
      </c>
      <c r="E26" s="350"/>
    </row>
    <row r="27" spans="1:6" x14ac:dyDescent="0.25">
      <c r="B27" t="s">
        <v>2012</v>
      </c>
      <c r="E27" s="350"/>
    </row>
    <row r="28" spans="1:6" x14ac:dyDescent="0.25">
      <c r="E28" s="350"/>
    </row>
    <row r="29" spans="1:6" x14ac:dyDescent="0.25">
      <c r="A29"/>
      <c r="E29" s="350"/>
    </row>
    <row r="30" spans="1:6" x14ac:dyDescent="0.25">
      <c r="A30"/>
      <c r="E30" s="350"/>
    </row>
    <row r="31" spans="1:6" x14ac:dyDescent="0.25">
      <c r="A31"/>
      <c r="E31" s="350"/>
    </row>
    <row r="32" spans="1:6" x14ac:dyDescent="0.25">
      <c r="A32"/>
      <c r="E32" s="350"/>
    </row>
    <row r="36" spans="1:5" x14ac:dyDescent="0.25">
      <c r="A36"/>
      <c r="C36" s="88"/>
      <c r="D36" s="88"/>
      <c r="E36" s="88"/>
    </row>
    <row r="37" spans="1:5" x14ac:dyDescent="0.25">
      <c r="A37"/>
      <c r="C37" s="88"/>
      <c r="D37" s="88"/>
      <c r="E37" s="88"/>
    </row>
    <row r="38" spans="1:5" x14ac:dyDescent="0.25">
      <c r="A38"/>
      <c r="C38" s="88"/>
      <c r="D38" s="88"/>
      <c r="E38" s="88"/>
    </row>
    <row r="39" spans="1:5" x14ac:dyDescent="0.25">
      <c r="A39"/>
      <c r="C39" s="88"/>
      <c r="D39" s="88"/>
      <c r="E39" s="88"/>
    </row>
    <row r="40" spans="1:5" x14ac:dyDescent="0.25">
      <c r="A40"/>
      <c r="C40" s="88"/>
      <c r="D40" s="88"/>
      <c r="E40" s="88"/>
    </row>
    <row r="41" spans="1:5" x14ac:dyDescent="0.25">
      <c r="A41"/>
      <c r="C41" s="88"/>
      <c r="D41" s="88"/>
      <c r="E41" s="88"/>
    </row>
    <row r="42" spans="1:5" x14ac:dyDescent="0.25">
      <c r="A42"/>
      <c r="C42" s="88"/>
      <c r="D42" s="88"/>
      <c r="E42" s="88"/>
    </row>
    <row r="43" spans="1:5" x14ac:dyDescent="0.25">
      <c r="A43"/>
      <c r="C43" s="88"/>
      <c r="D43" s="88"/>
      <c r="E43" s="88"/>
    </row>
    <row r="44" spans="1:5" x14ac:dyDescent="0.25">
      <c r="A44"/>
      <c r="C44" s="88"/>
      <c r="D44" s="88"/>
      <c r="E44" s="88"/>
    </row>
    <row r="45" spans="1:5" x14ac:dyDescent="0.25">
      <c r="A45"/>
      <c r="C45" s="88"/>
      <c r="D45" s="88"/>
      <c r="E45" s="88"/>
    </row>
    <row r="46" spans="1:5" x14ac:dyDescent="0.25">
      <c r="A46"/>
      <c r="C46" s="88"/>
      <c r="D46" s="88"/>
      <c r="E46" s="88"/>
    </row>
    <row r="47" spans="1:5" x14ac:dyDescent="0.25">
      <c r="A47"/>
      <c r="C47" s="88"/>
      <c r="D47" s="88"/>
      <c r="E47" s="88"/>
    </row>
    <row r="48" spans="1:5" x14ac:dyDescent="0.25">
      <c r="A48"/>
      <c r="C48" s="88"/>
      <c r="D48" s="88"/>
      <c r="E48" s="88"/>
    </row>
    <row r="51" spans="1:5" x14ac:dyDescent="0.25">
      <c r="A51"/>
      <c r="E51" s="88"/>
    </row>
  </sheetData>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671" t="s">
        <v>1720</v>
      </c>
      <c r="B1" s="672"/>
      <c r="C1" s="672"/>
      <c r="D1" s="672"/>
      <c r="E1" s="672"/>
      <c r="F1" s="672"/>
      <c r="G1" s="672"/>
      <c r="H1" s="13"/>
      <c r="I1" s="13"/>
    </row>
    <row r="2" spans="1:9" x14ac:dyDescent="0.25">
      <c r="A2" s="13"/>
      <c r="B2" s="13"/>
      <c r="C2" s="13"/>
      <c r="D2" s="13"/>
      <c r="E2" s="13"/>
      <c r="F2" s="13"/>
      <c r="G2" s="13"/>
      <c r="H2" s="13"/>
      <c r="I2" s="13"/>
    </row>
    <row r="3" spans="1:9" x14ac:dyDescent="0.25">
      <c r="A3" s="673" t="s">
        <v>332</v>
      </c>
      <c r="B3" s="672"/>
      <c r="C3" s="672"/>
      <c r="D3" s="672"/>
      <c r="E3" s="672"/>
      <c r="F3" s="672"/>
      <c r="G3" s="672"/>
      <c r="H3" s="13"/>
      <c r="I3" s="13"/>
    </row>
    <row r="4" spans="1:9" x14ac:dyDescent="0.25">
      <c r="A4" s="674">
        <v>1</v>
      </c>
      <c r="B4" s="560" t="s">
        <v>1709</v>
      </c>
      <c r="C4" s="672"/>
      <c r="D4" s="672"/>
      <c r="E4" s="672"/>
      <c r="F4" s="672"/>
      <c r="G4" s="672"/>
      <c r="H4" s="13"/>
      <c r="I4" s="13"/>
    </row>
    <row r="5" spans="1:9" x14ac:dyDescent="0.25">
      <c r="A5" s="674">
        <v>2</v>
      </c>
      <c r="B5" s="560" t="s">
        <v>1710</v>
      </c>
      <c r="C5" s="672"/>
      <c r="D5" s="672"/>
      <c r="E5" s="672"/>
      <c r="F5" s="672"/>
      <c r="G5" s="672"/>
      <c r="H5" s="13"/>
      <c r="I5" s="13"/>
    </row>
    <row r="6" spans="1:9" x14ac:dyDescent="0.25">
      <c r="A6" s="674">
        <v>3</v>
      </c>
      <c r="B6" s="560" t="s">
        <v>1711</v>
      </c>
      <c r="C6" s="672"/>
      <c r="D6" s="672"/>
      <c r="E6" s="672"/>
      <c r="F6" s="672"/>
      <c r="G6" s="672"/>
      <c r="H6" s="13"/>
      <c r="I6" s="13"/>
    </row>
    <row r="7" spans="1:9" x14ac:dyDescent="0.25">
      <c r="A7" s="674">
        <v>4</v>
      </c>
      <c r="B7" s="672"/>
      <c r="C7" s="672"/>
      <c r="D7" s="672"/>
      <c r="E7" s="672"/>
      <c r="F7" s="672"/>
      <c r="G7" s="672"/>
      <c r="H7" s="13"/>
      <c r="I7" s="13"/>
    </row>
    <row r="8" spans="1:9" x14ac:dyDescent="0.25">
      <c r="A8" s="674">
        <v>5</v>
      </c>
      <c r="B8" s="560" t="s">
        <v>412</v>
      </c>
      <c r="C8" s="672"/>
      <c r="D8" s="672"/>
      <c r="E8" s="672"/>
      <c r="F8" s="672"/>
      <c r="G8" s="672"/>
      <c r="H8" s="13"/>
      <c r="I8" s="13"/>
    </row>
    <row r="9" spans="1:9" x14ac:dyDescent="0.25">
      <c r="A9" s="674">
        <v>6</v>
      </c>
      <c r="B9" s="560" t="s">
        <v>411</v>
      </c>
      <c r="C9" s="672"/>
      <c r="D9" s="672"/>
      <c r="E9" s="672"/>
      <c r="F9" s="672"/>
      <c r="G9" s="672"/>
      <c r="H9" s="13"/>
      <c r="I9" s="13"/>
    </row>
    <row r="10" spans="1:9" x14ac:dyDescent="0.25">
      <c r="A10" s="674">
        <v>7</v>
      </c>
      <c r="B10" s="672"/>
      <c r="C10" s="672"/>
      <c r="D10" s="672"/>
      <c r="E10" s="672"/>
      <c r="F10" s="672"/>
      <c r="G10" s="672"/>
      <c r="H10" s="13"/>
      <c r="I10" s="13"/>
    </row>
    <row r="11" spans="1:9" x14ac:dyDescent="0.25">
      <c r="A11" s="674">
        <v>8</v>
      </c>
      <c r="B11" s="560" t="s">
        <v>1712</v>
      </c>
      <c r="C11" s="672"/>
      <c r="D11" s="672"/>
      <c r="E11" s="672"/>
      <c r="F11" s="672"/>
      <c r="G11" s="672"/>
      <c r="H11" s="13"/>
      <c r="I11" s="13"/>
    </row>
    <row r="12" spans="1:9" x14ac:dyDescent="0.25">
      <c r="A12" s="674">
        <v>9</v>
      </c>
      <c r="B12" s="560" t="s">
        <v>1713</v>
      </c>
      <c r="C12" s="672"/>
      <c r="D12" s="672"/>
      <c r="E12" s="672"/>
      <c r="F12" s="672"/>
      <c r="G12" s="672"/>
      <c r="H12" s="13"/>
      <c r="I12" s="13"/>
    </row>
    <row r="13" spans="1:9" x14ac:dyDescent="0.25">
      <c r="A13" s="674">
        <v>10</v>
      </c>
      <c r="B13" s="560" t="s">
        <v>1714</v>
      </c>
      <c r="C13" s="672"/>
      <c r="D13" s="672"/>
      <c r="E13" s="672"/>
      <c r="F13" s="672"/>
      <c r="G13" s="672"/>
      <c r="H13" s="13"/>
      <c r="I13" s="13"/>
    </row>
    <row r="14" spans="1:9" x14ac:dyDescent="0.25">
      <c r="A14" s="674">
        <v>11</v>
      </c>
      <c r="B14" s="672"/>
      <c r="C14" s="672"/>
      <c r="D14" s="672"/>
      <c r="E14" s="672"/>
      <c r="F14" s="672"/>
      <c r="G14" s="672"/>
      <c r="H14" s="13"/>
      <c r="I14" s="13"/>
    </row>
    <row r="15" spans="1:9" x14ac:dyDescent="0.25">
      <c r="A15" s="674">
        <v>12</v>
      </c>
      <c r="B15" s="560"/>
      <c r="C15" s="672"/>
      <c r="D15" s="672"/>
      <c r="E15" s="674" t="s">
        <v>64</v>
      </c>
      <c r="F15" s="672"/>
      <c r="G15" s="672"/>
      <c r="H15" s="13"/>
      <c r="I15" s="13"/>
    </row>
    <row r="16" spans="1:9" x14ac:dyDescent="0.25">
      <c r="A16" s="674">
        <v>13</v>
      </c>
      <c r="B16" s="672"/>
      <c r="C16" s="672"/>
      <c r="D16" s="672"/>
      <c r="E16" s="851" t="s">
        <v>176</v>
      </c>
      <c r="F16" s="672"/>
      <c r="G16" s="852" t="s">
        <v>1885</v>
      </c>
      <c r="H16" s="13"/>
      <c r="I16" s="13"/>
    </row>
    <row r="17" spans="1:10" x14ac:dyDescent="0.25">
      <c r="A17" s="674">
        <v>14</v>
      </c>
      <c r="B17" s="560" t="s">
        <v>413</v>
      </c>
      <c r="C17" s="672"/>
      <c r="D17" s="672"/>
      <c r="E17" s="940">
        <v>0</v>
      </c>
      <c r="F17" s="672"/>
      <c r="G17" s="560" t="s">
        <v>504</v>
      </c>
      <c r="H17" s="13"/>
      <c r="I17" s="13"/>
    </row>
    <row r="18" spans="1:10" x14ac:dyDescent="0.25">
      <c r="A18" s="674">
        <v>15</v>
      </c>
      <c r="B18" s="560" t="s">
        <v>1635</v>
      </c>
      <c r="C18" s="672"/>
      <c r="D18" s="672"/>
      <c r="E18" s="940">
        <v>0</v>
      </c>
      <c r="F18" s="672"/>
      <c r="G18" s="560" t="s">
        <v>1886</v>
      </c>
      <c r="H18" s="13"/>
      <c r="I18" s="13"/>
      <c r="J18" s="13"/>
    </row>
    <row r="19" spans="1:10" x14ac:dyDescent="0.25">
      <c r="A19" s="674">
        <v>16</v>
      </c>
      <c r="B19" s="560" t="s">
        <v>1715</v>
      </c>
      <c r="C19" s="672"/>
      <c r="D19" s="672"/>
      <c r="E19" s="940">
        <v>0</v>
      </c>
      <c r="F19" s="672"/>
      <c r="G19" s="560" t="s">
        <v>1887</v>
      </c>
      <c r="H19" s="13"/>
      <c r="I19" s="13"/>
    </row>
    <row r="20" spans="1:10" x14ac:dyDescent="0.25">
      <c r="A20" s="554"/>
      <c r="B20" s="555"/>
      <c r="C20" s="552"/>
      <c r="D20" s="552"/>
      <c r="E20" s="558"/>
      <c r="F20" s="552"/>
      <c r="G20" s="552"/>
    </row>
    <row r="21" spans="1:10" x14ac:dyDescent="0.25">
      <c r="A21" s="554"/>
      <c r="B21" s="552"/>
      <c r="C21" s="679" t="s">
        <v>363</v>
      </c>
      <c r="D21" s="679" t="s">
        <v>347</v>
      </c>
      <c r="E21" s="679" t="s">
        <v>348</v>
      </c>
      <c r="F21" s="672"/>
      <c r="G21" s="672"/>
      <c r="H21" s="13"/>
    </row>
    <row r="22" spans="1:10" x14ac:dyDescent="0.25">
      <c r="A22" s="554"/>
      <c r="B22" s="552"/>
      <c r="C22" s="674" t="s">
        <v>64</v>
      </c>
      <c r="D22" s="674" t="s">
        <v>64</v>
      </c>
      <c r="E22" s="674" t="s">
        <v>64</v>
      </c>
      <c r="F22" s="672"/>
      <c r="G22" s="672"/>
      <c r="H22" s="13"/>
    </row>
    <row r="23" spans="1:10" ht="14.4" x14ac:dyDescent="0.3">
      <c r="A23" s="554"/>
      <c r="B23" s="554" t="s">
        <v>414</v>
      </c>
      <c r="C23" s="674" t="s">
        <v>385</v>
      </c>
      <c r="D23" s="674" t="s">
        <v>302</v>
      </c>
      <c r="E23" s="853" t="s">
        <v>1716</v>
      </c>
      <c r="F23" s="672"/>
      <c r="G23" s="854" t="s">
        <v>1888</v>
      </c>
      <c r="H23" s="855"/>
    </row>
    <row r="24" spans="1:10" x14ac:dyDescent="0.25">
      <c r="A24" s="554"/>
      <c r="B24" s="554" t="s">
        <v>415</v>
      </c>
      <c r="C24" s="674" t="s">
        <v>420</v>
      </c>
      <c r="D24" s="674" t="s">
        <v>420</v>
      </c>
      <c r="E24" s="674" t="s">
        <v>421</v>
      </c>
      <c r="F24" s="672"/>
      <c r="G24" s="854" t="s">
        <v>1889</v>
      </c>
      <c r="H24" s="855"/>
    </row>
    <row r="25" spans="1:10" x14ac:dyDescent="0.25">
      <c r="A25" s="554"/>
      <c r="B25" s="556" t="s">
        <v>416</v>
      </c>
      <c r="C25" s="851" t="s">
        <v>416</v>
      </c>
      <c r="D25" s="851" t="s">
        <v>416</v>
      </c>
      <c r="E25" s="851" t="s">
        <v>1717</v>
      </c>
      <c r="F25" s="672"/>
      <c r="G25" s="856" t="s">
        <v>1890</v>
      </c>
      <c r="H25" s="855"/>
    </row>
    <row r="26" spans="1:10" x14ac:dyDescent="0.25">
      <c r="A26" s="554">
        <v>17</v>
      </c>
      <c r="B26" s="559" t="s">
        <v>417</v>
      </c>
      <c r="C26" s="932">
        <v>0</v>
      </c>
      <c r="D26" s="932">
        <v>0</v>
      </c>
      <c r="E26" s="932">
        <v>0</v>
      </c>
      <c r="F26" s="552"/>
      <c r="G26" s="951" t="s">
        <v>77</v>
      </c>
      <c r="H26" s="86"/>
    </row>
    <row r="27" spans="1:10" x14ac:dyDescent="0.25">
      <c r="A27" s="554">
        <v>18</v>
      </c>
      <c r="B27" s="559" t="s">
        <v>418</v>
      </c>
      <c r="C27" s="932">
        <v>0</v>
      </c>
      <c r="D27" s="932">
        <v>0</v>
      </c>
      <c r="E27" s="932">
        <v>0</v>
      </c>
      <c r="F27" s="552"/>
      <c r="G27" s="951" t="s">
        <v>77</v>
      </c>
      <c r="H27" s="86"/>
    </row>
    <row r="28" spans="1:10" ht="15" x14ac:dyDescent="0.4">
      <c r="A28" s="554">
        <v>19</v>
      </c>
      <c r="B28" s="559" t="s">
        <v>419</v>
      </c>
      <c r="C28" s="933">
        <v>0</v>
      </c>
      <c r="D28" s="933">
        <v>0</v>
      </c>
      <c r="E28" s="933">
        <v>0</v>
      </c>
      <c r="F28" s="552"/>
      <c r="G28" s="951" t="s">
        <v>77</v>
      </c>
      <c r="H28" s="86"/>
    </row>
    <row r="29" spans="1:10" x14ac:dyDescent="0.25">
      <c r="A29" s="554">
        <v>20</v>
      </c>
      <c r="B29" s="555" t="s">
        <v>198</v>
      </c>
      <c r="C29" s="940">
        <v>0</v>
      </c>
      <c r="D29" s="940">
        <v>0</v>
      </c>
      <c r="E29" s="940">
        <v>0</v>
      </c>
      <c r="F29" s="552"/>
      <c r="G29" s="555" t="s">
        <v>328</v>
      </c>
    </row>
    <row r="30" spans="1:10" x14ac:dyDescent="0.25">
      <c r="A30" s="554"/>
      <c r="B30" s="552"/>
      <c r="C30" s="552"/>
      <c r="D30" s="552"/>
      <c r="E30" s="552"/>
      <c r="F30" s="552"/>
      <c r="G30" s="552"/>
    </row>
    <row r="31" spans="1:10" x14ac:dyDescent="0.25">
      <c r="A31" s="554"/>
      <c r="B31" s="551" t="s">
        <v>382</v>
      </c>
      <c r="C31" s="552"/>
      <c r="D31" s="552"/>
      <c r="E31" s="552"/>
      <c r="F31" s="552"/>
      <c r="G31" s="552"/>
    </row>
    <row r="32" spans="1:10" x14ac:dyDescent="0.25">
      <c r="A32" s="554"/>
      <c r="B32" s="560" t="s">
        <v>1718</v>
      </c>
      <c r="C32" s="672"/>
      <c r="D32" s="672"/>
      <c r="E32" s="672"/>
      <c r="F32" s="672"/>
      <c r="G32" s="672"/>
      <c r="H32" s="13"/>
    </row>
    <row r="33" spans="1:8" x14ac:dyDescent="0.25">
      <c r="A33" s="554"/>
      <c r="B33" s="560" t="s">
        <v>422</v>
      </c>
      <c r="C33" s="13"/>
      <c r="D33" s="13"/>
      <c r="E33" s="13"/>
      <c r="F33" s="13"/>
      <c r="G33" s="13"/>
      <c r="H33" s="13"/>
    </row>
    <row r="34" spans="1:8" x14ac:dyDescent="0.25">
      <c r="A34" s="554"/>
      <c r="B34" s="857" t="s">
        <v>505</v>
      </c>
      <c r="C34" s="13"/>
      <c r="D34" s="13"/>
      <c r="E34" s="13"/>
      <c r="F34" s="13"/>
      <c r="G34" s="13"/>
      <c r="H34" s="13"/>
    </row>
    <row r="35" spans="1:8" x14ac:dyDescent="0.25">
      <c r="A35" s="554"/>
      <c r="B35" s="857" t="s">
        <v>506</v>
      </c>
      <c r="C35" s="13"/>
      <c r="D35" s="13"/>
      <c r="E35" s="855"/>
      <c r="F35" s="13"/>
      <c r="G35" s="13"/>
      <c r="H35" s="13"/>
    </row>
    <row r="36" spans="1:8" x14ac:dyDescent="0.25">
      <c r="A36" s="554"/>
      <c r="B36" s="560" t="s">
        <v>423</v>
      </c>
      <c r="C36" s="13"/>
      <c r="D36" s="13"/>
      <c r="E36" s="13"/>
      <c r="F36" s="13"/>
      <c r="G36" s="13"/>
      <c r="H36" s="13"/>
    </row>
    <row r="37" spans="1:8" x14ac:dyDescent="0.25">
      <c r="A37" s="554"/>
    </row>
    <row r="38" spans="1:8" x14ac:dyDescent="0.25">
      <c r="A38" s="554"/>
      <c r="B38" s="552"/>
    </row>
    <row r="39" spans="1:8" x14ac:dyDescent="0.25">
      <c r="A39" s="554"/>
      <c r="B39" s="552"/>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3.2" x14ac:dyDescent="0.25"/>
  <cols>
    <col min="1" max="1" width="3.6640625" customWidth="1"/>
    <col min="2" max="2" width="45.6640625" customWidth="1"/>
    <col min="3" max="3" width="12.6640625" customWidth="1"/>
  </cols>
  <sheetData>
    <row r="1" spans="1:6" x14ac:dyDescent="0.25">
      <c r="A1" s="1" t="s">
        <v>1434</v>
      </c>
    </row>
    <row r="3" spans="1:6" x14ac:dyDescent="0.25">
      <c r="A3" s="443" t="s">
        <v>1657</v>
      </c>
    </row>
    <row r="5" spans="1:6" x14ac:dyDescent="0.25">
      <c r="B5" s="3" t="s">
        <v>175</v>
      </c>
      <c r="C5" s="3" t="s">
        <v>176</v>
      </c>
    </row>
    <row r="6" spans="1:6" x14ac:dyDescent="0.25">
      <c r="B6" t="s">
        <v>96</v>
      </c>
      <c r="C6" s="924">
        <v>0</v>
      </c>
    </row>
    <row r="7" spans="1:6" x14ac:dyDescent="0.25">
      <c r="B7" t="s">
        <v>321</v>
      </c>
      <c r="C7" s="924">
        <v>0</v>
      </c>
    </row>
    <row r="8" spans="1:6" x14ac:dyDescent="0.25">
      <c r="B8" t="s">
        <v>97</v>
      </c>
      <c r="C8" s="924">
        <v>0</v>
      </c>
      <c r="E8" s="1"/>
    </row>
    <row r="9" spans="1:6" ht="15" x14ac:dyDescent="0.4">
      <c r="B9" s="445" t="s">
        <v>1897</v>
      </c>
      <c r="C9" s="925">
        <v>0</v>
      </c>
      <c r="E9" s="1"/>
    </row>
    <row r="10" spans="1:6" x14ac:dyDescent="0.25">
      <c r="B10" t="s">
        <v>1658</v>
      </c>
      <c r="C10" s="924">
        <v>0</v>
      </c>
    </row>
    <row r="12" spans="1:6" x14ac:dyDescent="0.25">
      <c r="A12" t="s">
        <v>551</v>
      </c>
    </row>
    <row r="14" spans="1:6" x14ac:dyDescent="0.25">
      <c r="B14" t="s">
        <v>204</v>
      </c>
    </row>
    <row r="15" spans="1:6" x14ac:dyDescent="0.25">
      <c r="B15" s="447" t="s">
        <v>1793</v>
      </c>
      <c r="E15" s="13"/>
      <c r="F15" s="13"/>
    </row>
    <row r="16" spans="1:6" x14ac:dyDescent="0.25">
      <c r="B16" s="15"/>
    </row>
    <row r="17" spans="2:2" x14ac:dyDescent="0.25">
      <c r="B17" t="s">
        <v>550</v>
      </c>
    </row>
    <row r="18" spans="2:2" x14ac:dyDescent="0.25">
      <c r="B18" s="445" t="s">
        <v>1794</v>
      </c>
    </row>
    <row r="19" spans="2:2" x14ac:dyDescent="0.25">
      <c r="B19" s="96"/>
    </row>
    <row r="20" spans="2:2" x14ac:dyDescent="0.25">
      <c r="B20" s="868" t="s">
        <v>1211</v>
      </c>
    </row>
    <row r="21" spans="2:2" x14ac:dyDescent="0.25">
      <c r="B21" s="442" t="s">
        <v>1795</v>
      </c>
    </row>
    <row r="22" spans="2:2" x14ac:dyDescent="0.25">
      <c r="B22" s="13"/>
    </row>
    <row r="23" spans="2:2" x14ac:dyDescent="0.25">
      <c r="B23" s="445" t="s">
        <v>1898</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1248</v>
      </c>
      <c r="I1" s="327"/>
    </row>
    <row r="3" spans="1:9" x14ac:dyDescent="0.25">
      <c r="B3" s="1" t="s">
        <v>1510</v>
      </c>
    </row>
    <row r="4" spans="1:9" x14ac:dyDescent="0.25">
      <c r="B4" s="1"/>
    </row>
    <row r="5" spans="1:9" x14ac:dyDescent="0.25">
      <c r="B5" s="1"/>
      <c r="C5" s="1" t="s">
        <v>1399</v>
      </c>
      <c r="D5" s="76" t="s">
        <v>363</v>
      </c>
      <c r="E5" s="76" t="s">
        <v>347</v>
      </c>
      <c r="F5" s="76" t="s">
        <v>348</v>
      </c>
    </row>
    <row r="6" spans="1:9" ht="14.4" x14ac:dyDescent="0.3">
      <c r="D6" s="210" t="s">
        <v>64</v>
      </c>
      <c r="E6" s="210" t="s">
        <v>64</v>
      </c>
      <c r="F6" s="210" t="s">
        <v>199</v>
      </c>
    </row>
    <row r="7" spans="1:9" ht="14.4" x14ac:dyDescent="0.3">
      <c r="C7" s="1"/>
      <c r="D7" s="210" t="s">
        <v>302</v>
      </c>
      <c r="E7" s="210" t="s">
        <v>232</v>
      </c>
      <c r="F7" s="210" t="s">
        <v>200</v>
      </c>
    </row>
    <row r="8" spans="1:9" x14ac:dyDescent="0.25">
      <c r="A8" s="3" t="s">
        <v>332</v>
      </c>
      <c r="C8" s="3" t="s">
        <v>227</v>
      </c>
      <c r="D8" s="3" t="s">
        <v>176</v>
      </c>
      <c r="E8" s="3" t="s">
        <v>176</v>
      </c>
      <c r="F8" s="3" t="s">
        <v>176</v>
      </c>
      <c r="G8" s="3" t="s">
        <v>180</v>
      </c>
    </row>
    <row r="9" spans="1:9" x14ac:dyDescent="0.25">
      <c r="A9" s="2">
        <v>1</v>
      </c>
      <c r="C9" s="83" t="s">
        <v>1261</v>
      </c>
      <c r="D9" s="940">
        <v>0</v>
      </c>
      <c r="E9" s="940">
        <v>0</v>
      </c>
      <c r="F9" s="940">
        <v>0</v>
      </c>
      <c r="G9" s="40" t="str">
        <f>"10-CWIP, Lines "&amp;'10-CWIP'!A25&amp;", "&amp;'10-CWIP'!A26&amp;", "&amp;'10-CWIP'!A113&amp;""</f>
        <v>10-CWIP, Lines 13, 14, 80</v>
      </c>
    </row>
    <row r="10" spans="1:9" x14ac:dyDescent="0.25">
      <c r="A10" s="2">
        <f>A9+1</f>
        <v>2</v>
      </c>
      <c r="C10" s="83" t="s">
        <v>1262</v>
      </c>
      <c r="D10" s="940">
        <v>0</v>
      </c>
      <c r="E10" s="940">
        <v>0</v>
      </c>
      <c r="F10" s="940">
        <v>0</v>
      </c>
      <c r="G10" s="40" t="str">
        <f>"10-CWIP, Lines "&amp;'10-CWIP'!A25&amp;", "&amp;'10-CWIP'!A26&amp;", "&amp;'10-CWIP'!A146&amp;""</f>
        <v>10-CWIP, Lines 13, 14, 106</v>
      </c>
    </row>
    <row r="11" spans="1:9" x14ac:dyDescent="0.25">
      <c r="A11" s="2">
        <f t="shared" ref="A11:A20" si="0">A10+1</f>
        <v>3</v>
      </c>
      <c r="C11" s="83" t="s">
        <v>1266</v>
      </c>
      <c r="D11" s="940">
        <v>0</v>
      </c>
      <c r="E11" s="940">
        <v>0</v>
      </c>
      <c r="F11" s="940">
        <v>0</v>
      </c>
      <c r="G11" s="40" t="str">
        <f>"10-CWIP, Lines "&amp;'10-CWIP'!A25&amp;", "&amp;'10-CWIP'!A26&amp;", "&amp;'10-CWIP'!A177&amp;""</f>
        <v>10-CWIP, Lines 13, 14, 132</v>
      </c>
    </row>
    <row r="12" spans="1:9" x14ac:dyDescent="0.25">
      <c r="A12" s="2">
        <f t="shared" si="0"/>
        <v>4</v>
      </c>
      <c r="C12" s="83" t="s">
        <v>1267</v>
      </c>
      <c r="D12" s="940">
        <v>0</v>
      </c>
      <c r="E12" s="940">
        <v>0</v>
      </c>
      <c r="F12" s="940">
        <v>0</v>
      </c>
      <c r="G12" s="40" t="str">
        <f>"10-CWIP, Lines "&amp;'10-CWIP'!A25&amp;", "&amp;'10-CWIP'!A26&amp;", "&amp;'10-CWIP'!A210&amp;""</f>
        <v>10-CWIP, Lines 13, 14, 158</v>
      </c>
    </row>
    <row r="13" spans="1:9" x14ac:dyDescent="0.25">
      <c r="A13" s="2">
        <f t="shared" si="0"/>
        <v>5</v>
      </c>
      <c r="C13" s="83" t="s">
        <v>1263</v>
      </c>
      <c r="D13" s="940">
        <v>0</v>
      </c>
      <c r="E13" s="940">
        <v>0</v>
      </c>
      <c r="F13" s="940">
        <v>0</v>
      </c>
      <c r="G13" s="40" t="str">
        <f>"10-CWIP, Lines "&amp;'10-CWIP'!A25&amp;", "&amp;'10-CWIP'!A26&amp;", "&amp;'10-CWIP'!A241&amp;""</f>
        <v>10-CWIP, Lines 13, 14, 184</v>
      </c>
    </row>
    <row r="14" spans="1:9" x14ac:dyDescent="0.25">
      <c r="A14" s="2">
        <f t="shared" si="0"/>
        <v>6</v>
      </c>
      <c r="C14" s="83" t="s">
        <v>1264</v>
      </c>
      <c r="D14" s="940">
        <v>0</v>
      </c>
      <c r="E14" s="940">
        <v>0</v>
      </c>
      <c r="F14" s="940">
        <v>0</v>
      </c>
      <c r="G14" s="40" t="str">
        <f>"10-CWIP, Lines "&amp;'10-CWIP'!A45&amp;", "&amp;'10-CWIP'!A46&amp;", "&amp;'10-CWIP'!A274&amp;""</f>
        <v>10-CWIP, Lines 27, 28, 210</v>
      </c>
    </row>
    <row r="15" spans="1:9" x14ac:dyDescent="0.25">
      <c r="A15" s="2">
        <f t="shared" si="0"/>
        <v>7</v>
      </c>
      <c r="C15" s="83" t="s">
        <v>1265</v>
      </c>
      <c r="D15" s="940">
        <v>0</v>
      </c>
      <c r="E15" s="940">
        <v>0</v>
      </c>
      <c r="F15" s="940">
        <v>0</v>
      </c>
      <c r="G15" s="40" t="str">
        <f>"10-CWIP, Lines "&amp;'10-CWIP'!A45&amp;", "&amp;'10-CWIP'!A46&amp;", "&amp;'10-CWIP'!A305&amp;""</f>
        <v>10-CWIP, Lines 27, 28, 236</v>
      </c>
    </row>
    <row r="16" spans="1:9" x14ac:dyDescent="0.25">
      <c r="A16" s="2">
        <f t="shared" si="0"/>
        <v>8</v>
      </c>
      <c r="C16" s="377"/>
      <c r="D16" s="940">
        <v>0</v>
      </c>
      <c r="E16" s="940">
        <v>0</v>
      </c>
      <c r="F16" s="940">
        <v>0</v>
      </c>
      <c r="G16" s="40" t="str">
        <f>"10-CWIP, Lines "&amp;'10-CWIP'!A45&amp;", "&amp;'10-CWIP'!A46&amp;", "&amp;'10-CWIP'!A338&amp;""</f>
        <v>10-CWIP, Lines 27, 28, 262</v>
      </c>
    </row>
    <row r="17" spans="1:7" x14ac:dyDescent="0.25">
      <c r="A17" s="2">
        <f t="shared" si="0"/>
        <v>9</v>
      </c>
      <c r="C17" s="377"/>
      <c r="D17" s="940">
        <v>0</v>
      </c>
      <c r="E17" s="940">
        <v>0</v>
      </c>
      <c r="F17" s="940">
        <v>0</v>
      </c>
      <c r="G17" s="40" t="str">
        <f>"10-CWIP, Lines "&amp;'10-CWIP'!A45&amp;", "&amp;'10-CWIP'!A46&amp;", "&amp;'10-CWIP'!A369&amp;""</f>
        <v>10-CWIP, Lines 27, 28, 288</v>
      </c>
    </row>
    <row r="18" spans="1:7" x14ac:dyDescent="0.25">
      <c r="A18" s="2">
        <f t="shared" si="0"/>
        <v>10</v>
      </c>
      <c r="C18" s="377"/>
      <c r="D18" s="940">
        <v>0</v>
      </c>
      <c r="E18" s="940">
        <v>0</v>
      </c>
      <c r="F18" s="940">
        <v>0</v>
      </c>
      <c r="G18" s="40" t="str">
        <f>"10-CWIP, Lines "&amp;'10-CWIP'!A45&amp;", "&amp;'10-CWIP'!A46&amp;", "&amp;'10-CWIP'!A402&amp;""</f>
        <v>10-CWIP, Lines 27, 28, 314</v>
      </c>
    </row>
    <row r="19" spans="1:7" ht="15" x14ac:dyDescent="0.4">
      <c r="A19" s="2">
        <f t="shared" si="0"/>
        <v>11</v>
      </c>
      <c r="C19" s="377"/>
      <c r="D19" s="941">
        <v>0</v>
      </c>
      <c r="E19" s="941">
        <v>0</v>
      </c>
      <c r="F19" s="941">
        <v>0</v>
      </c>
      <c r="G19" s="40" t="str">
        <f>"10-CWIP, Lines "&amp;'10-CWIP'!A45&amp;", "&amp;'10-CWIP'!A46&amp;", 304"</f>
        <v>10-CWIP, Lines 27, 28, 304</v>
      </c>
    </row>
    <row r="20" spans="1:7" x14ac:dyDescent="0.25">
      <c r="A20" s="2">
        <f t="shared" si="0"/>
        <v>12</v>
      </c>
      <c r="C20" s="83" t="s">
        <v>198</v>
      </c>
      <c r="D20" s="940">
        <v>0</v>
      </c>
      <c r="E20" s="940">
        <v>0</v>
      </c>
      <c r="F20" s="940">
        <v>0</v>
      </c>
      <c r="G20" s="12" t="str">
        <f>"Sum of Lines "&amp;A9&amp;" to "&amp;A19&amp;""</f>
        <v>Sum of Lines 1 to 11</v>
      </c>
    </row>
    <row r="21" spans="1:7" x14ac:dyDescent="0.25">
      <c r="A21" s="2"/>
      <c r="C21" s="1"/>
    </row>
    <row r="22" spans="1:7" ht="14.4" x14ac:dyDescent="0.3">
      <c r="A22" s="2"/>
      <c r="C22" s="1" t="s">
        <v>1260</v>
      </c>
      <c r="D22" s="210" t="s">
        <v>302</v>
      </c>
      <c r="E22" s="210" t="s">
        <v>232</v>
      </c>
      <c r="F22" s="12"/>
    </row>
    <row r="23" spans="1:7" x14ac:dyDescent="0.25">
      <c r="D23" s="3" t="s">
        <v>176</v>
      </c>
      <c r="E23" s="3" t="s">
        <v>176</v>
      </c>
      <c r="F23" s="3" t="s">
        <v>180</v>
      </c>
    </row>
    <row r="24" spans="1:7" x14ac:dyDescent="0.25">
      <c r="A24" s="2">
        <f>A20+1</f>
        <v>13</v>
      </c>
      <c r="C24" s="83" t="s">
        <v>1400</v>
      </c>
      <c r="D24" s="940">
        <v>0</v>
      </c>
      <c r="E24" s="940">
        <v>0</v>
      </c>
      <c r="F24" s="15" t="str">
        <f>"Line "&amp;A20&amp;""</f>
        <v>Line 12</v>
      </c>
    </row>
    <row r="25" spans="1:7" x14ac:dyDescent="0.25">
      <c r="A25" s="2">
        <f>A24+1</f>
        <v>14</v>
      </c>
      <c r="C25" s="83" t="s">
        <v>1249</v>
      </c>
      <c r="D25" s="927" t="s">
        <v>2193</v>
      </c>
      <c r="E25" s="927" t="s">
        <v>2193</v>
      </c>
      <c r="F25" s="96" t="str">
        <f>"1-BaseTRR, Line "&amp;'1-BaseTRR'!A91&amp;""</f>
        <v>1-BaseTRR, Line 54</v>
      </c>
    </row>
    <row r="26" spans="1:7" x14ac:dyDescent="0.25">
      <c r="A26" s="2">
        <f>A25+1</f>
        <v>15</v>
      </c>
      <c r="C26" s="30" t="s">
        <v>1401</v>
      </c>
      <c r="D26" s="940">
        <v>0</v>
      </c>
      <c r="E26" s="940">
        <v>0</v>
      </c>
      <c r="F26" s="15" t="str">
        <f>"Line "&amp;A24&amp;" * Line "&amp;A25&amp;""</f>
        <v>Line 13 * Line 14</v>
      </c>
    </row>
    <row r="28" spans="1:7" x14ac:dyDescent="0.25">
      <c r="C28" s="1" t="s">
        <v>87</v>
      </c>
    </row>
    <row r="29" spans="1:7" ht="14.4" x14ac:dyDescent="0.3">
      <c r="D29" s="210" t="s">
        <v>302</v>
      </c>
      <c r="E29" s="210" t="s">
        <v>232</v>
      </c>
    </row>
    <row r="30" spans="1:7" x14ac:dyDescent="0.25">
      <c r="D30" s="3" t="s">
        <v>176</v>
      </c>
      <c r="E30" s="3" t="s">
        <v>176</v>
      </c>
      <c r="F30" s="3" t="s">
        <v>180</v>
      </c>
    </row>
    <row r="31" spans="1:7" ht="14.4" x14ac:dyDescent="0.3">
      <c r="A31" s="210">
        <f>A26+1</f>
        <v>16</v>
      </c>
      <c r="C31" s="83" t="s">
        <v>1400</v>
      </c>
      <c r="D31" s="940">
        <v>0</v>
      </c>
      <c r="E31" s="940">
        <v>0</v>
      </c>
      <c r="F31" s="15" t="str">
        <f>"Line "&amp;A20&amp;""</f>
        <v>Line 12</v>
      </c>
    </row>
    <row r="32" spans="1:7" x14ac:dyDescent="0.25">
      <c r="A32" s="2">
        <f t="shared" ref="A32:A38" si="1">A31+1</f>
        <v>17</v>
      </c>
      <c r="C32" s="323" t="s">
        <v>1402</v>
      </c>
      <c r="D32" s="926" t="s">
        <v>2193</v>
      </c>
      <c r="E32" s="926" t="s">
        <v>2193</v>
      </c>
      <c r="F32" s="96" t="str">
        <f>"1-BaseTRR, Line "&amp;'1-BaseTRR'!A93&amp;""</f>
        <v>1-BaseTRR, Line 55</v>
      </c>
      <c r="G32" s="13"/>
    </row>
    <row r="33" spans="1:7" x14ac:dyDescent="0.25">
      <c r="A33" s="2">
        <f t="shared" si="1"/>
        <v>18</v>
      </c>
      <c r="C33" s="323" t="s">
        <v>1046</v>
      </c>
      <c r="D33" s="926" t="s">
        <v>2193</v>
      </c>
      <c r="E33" s="926" t="s">
        <v>2193</v>
      </c>
      <c r="F33" s="96" t="str">
        <f>"1-BaseTRR, Line "&amp;'1-BaseTRR'!A102&amp;""</f>
        <v>1-BaseTRR, Line 59</v>
      </c>
      <c r="G33" s="13"/>
    </row>
    <row r="34" spans="1:7" x14ac:dyDescent="0.25">
      <c r="A34" s="2">
        <f t="shared" si="1"/>
        <v>19</v>
      </c>
      <c r="C34" s="323" t="s">
        <v>265</v>
      </c>
      <c r="D34" s="940">
        <v>0</v>
      </c>
      <c r="E34" s="940">
        <v>0</v>
      </c>
      <c r="F34" s="442" t="str">
        <f>"Formula on Line "&amp;A36&amp;""</f>
        <v>Formula on Line 21</v>
      </c>
      <c r="G34" s="13"/>
    </row>
    <row r="35" spans="1:7" x14ac:dyDescent="0.25">
      <c r="A35" s="2">
        <f t="shared" si="1"/>
        <v>20</v>
      </c>
      <c r="C35" s="13"/>
      <c r="D35" s="13"/>
      <c r="E35" s="13"/>
      <c r="F35" s="13"/>
      <c r="G35" s="13"/>
    </row>
    <row r="36" spans="1:7" x14ac:dyDescent="0.25">
      <c r="A36" s="2">
        <f t="shared" si="1"/>
        <v>21</v>
      </c>
      <c r="C36" s="40" t="str">
        <f>"Income Taxes = [(RB * ER) * (CTR/(1 – CTR)], or [(L"&amp;A24&amp;" * L"&amp;A32&amp;") * (L"&amp;A33&amp;" / (1 - L"&amp;A33&amp;")]"</f>
        <v>Income Taxes = [(RB * ER) * (CTR/(1 – CTR)], or [(L13 * L17) * (L18 / (1 - L18)]</v>
      </c>
      <c r="D36" s="13"/>
      <c r="E36" s="56"/>
      <c r="F36" s="14"/>
      <c r="G36" s="13"/>
    </row>
    <row r="37" spans="1:7" x14ac:dyDescent="0.25">
      <c r="A37" s="2">
        <f t="shared" si="1"/>
        <v>22</v>
      </c>
      <c r="C37" s="442" t="s">
        <v>1784</v>
      </c>
      <c r="D37" s="13"/>
      <c r="E37" s="56"/>
      <c r="F37" s="14"/>
      <c r="G37" s="13"/>
    </row>
    <row r="38" spans="1:7" x14ac:dyDescent="0.25">
      <c r="A38" s="2">
        <f t="shared" si="1"/>
        <v>23</v>
      </c>
      <c r="D38" s="12"/>
      <c r="E38" s="6"/>
      <c r="F38" s="11"/>
      <c r="G38" s="12"/>
    </row>
    <row r="39" spans="1:7" x14ac:dyDescent="0.25">
      <c r="C39" s="1" t="s">
        <v>1257</v>
      </c>
    </row>
    <row r="40" spans="1:7" x14ac:dyDescent="0.25">
      <c r="D40" s="3" t="s">
        <v>172</v>
      </c>
      <c r="E40" s="3" t="s">
        <v>180</v>
      </c>
    </row>
    <row r="41" spans="1:7" x14ac:dyDescent="0.25">
      <c r="A41" s="2">
        <f>A38+1</f>
        <v>24</v>
      </c>
      <c r="C41" s="83" t="s">
        <v>495</v>
      </c>
      <c r="D41" s="940">
        <v>0</v>
      </c>
      <c r="E41" s="96" t="str">
        <f>"15-IncentiveAdder, Line "&amp;'15-IncentiveAdder'!A17&amp;""</f>
        <v>15-IncentiveAdder, Line 3</v>
      </c>
    </row>
    <row r="43" spans="1:7" x14ac:dyDescent="0.25">
      <c r="C43" s="48" t="s">
        <v>341</v>
      </c>
    </row>
    <row r="44" spans="1:7" ht="14.4" x14ac:dyDescent="0.3">
      <c r="D44" s="210" t="s">
        <v>302</v>
      </c>
      <c r="E44" s="210" t="s">
        <v>232</v>
      </c>
    </row>
    <row r="45" spans="1:7" x14ac:dyDescent="0.25">
      <c r="D45" s="3" t="s">
        <v>176</v>
      </c>
      <c r="E45" s="3" t="s">
        <v>176</v>
      </c>
    </row>
    <row r="46" spans="1:7" x14ac:dyDescent="0.25">
      <c r="A46" s="2">
        <f>A41+1</f>
        <v>25</v>
      </c>
      <c r="C46" s="83" t="s">
        <v>1403</v>
      </c>
      <c r="D46" s="940">
        <v>0</v>
      </c>
      <c r="E46" s="940">
        <v>0</v>
      </c>
      <c r="F46" s="96" t="str">
        <f>"Line "&amp;A9&amp;""</f>
        <v>Line 1</v>
      </c>
      <c r="G46" s="13"/>
    </row>
    <row r="47" spans="1:7" x14ac:dyDescent="0.25">
      <c r="A47" s="2">
        <f>A46+1</f>
        <v>26</v>
      </c>
      <c r="C47" s="83" t="s">
        <v>1251</v>
      </c>
      <c r="D47" s="926" t="s">
        <v>2193</v>
      </c>
      <c r="E47" s="926" t="s">
        <v>2193</v>
      </c>
      <c r="F47" s="96" t="str">
        <f>"15-IncentiveAdder, Line "&amp;'15-IncentiveAdder'!A26&amp;""</f>
        <v>15-IncentiveAdder, Line 5</v>
      </c>
      <c r="G47" s="13"/>
    </row>
    <row r="48" spans="1:7" x14ac:dyDescent="0.25">
      <c r="A48" s="2">
        <f>A47+1</f>
        <v>27</v>
      </c>
      <c r="C48" s="83" t="s">
        <v>1404</v>
      </c>
      <c r="D48" s="940">
        <v>0</v>
      </c>
      <c r="E48" s="940">
        <v>0</v>
      </c>
      <c r="F48" s="442" t="str">
        <f>"Formula on Line "&amp;A57&amp;""</f>
        <v>Formula on Line 32</v>
      </c>
      <c r="G48" s="13"/>
    </row>
    <row r="49" spans="1:7" x14ac:dyDescent="0.25">
      <c r="C49" s="52"/>
    </row>
    <row r="50" spans="1:7" x14ac:dyDescent="0.25">
      <c r="C50" s="48" t="s">
        <v>1258</v>
      </c>
      <c r="E50" s="3"/>
      <c r="F50" s="3"/>
    </row>
    <row r="51" spans="1:7" ht="14.4" x14ac:dyDescent="0.3">
      <c r="D51" s="210" t="s">
        <v>302</v>
      </c>
      <c r="E51" s="210" t="s">
        <v>232</v>
      </c>
    </row>
    <row r="52" spans="1:7" x14ac:dyDescent="0.25">
      <c r="C52" s="13"/>
      <c r="D52" s="104" t="s">
        <v>176</v>
      </c>
      <c r="E52" s="104" t="s">
        <v>176</v>
      </c>
      <c r="F52" s="13"/>
      <c r="G52" s="13"/>
    </row>
    <row r="53" spans="1:7" x14ac:dyDescent="0.25">
      <c r="A53" s="2">
        <f>A48+1</f>
        <v>28</v>
      </c>
      <c r="C53" s="858" t="s">
        <v>1425</v>
      </c>
      <c r="D53" s="940">
        <v>0</v>
      </c>
      <c r="E53" s="940">
        <v>0</v>
      </c>
      <c r="F53" s="96" t="str">
        <f>"Line "&amp;A10&amp;""</f>
        <v>Line 2</v>
      </c>
      <c r="G53" s="13"/>
    </row>
    <row r="54" spans="1:7" x14ac:dyDescent="0.25">
      <c r="A54" s="2">
        <f>A53+1</f>
        <v>29</v>
      </c>
      <c r="C54" s="323" t="s">
        <v>1251</v>
      </c>
      <c r="D54" s="926" t="s">
        <v>2193</v>
      </c>
      <c r="E54" s="926" t="s">
        <v>2193</v>
      </c>
      <c r="F54" s="96" t="str">
        <f>"15-IncentiveAdder, Line "&amp;'15-IncentiveAdder'!A27&amp;""</f>
        <v>15-IncentiveAdder, Line 6</v>
      </c>
      <c r="G54" s="13"/>
    </row>
    <row r="55" spans="1:7" x14ac:dyDescent="0.25">
      <c r="A55" s="2">
        <f>A54+1</f>
        <v>30</v>
      </c>
      <c r="C55" s="323" t="s">
        <v>1404</v>
      </c>
      <c r="D55" s="940">
        <v>0</v>
      </c>
      <c r="E55" s="940">
        <v>0</v>
      </c>
      <c r="F55" s="442" t="str">
        <f>"Formula on Line "&amp;A57&amp;""</f>
        <v>Formula on Line 32</v>
      </c>
      <c r="G55" s="13"/>
    </row>
    <row r="56" spans="1:7" x14ac:dyDescent="0.25">
      <c r="A56" s="2">
        <f>A55+1</f>
        <v>31</v>
      </c>
      <c r="C56" s="13"/>
      <c r="D56" s="93"/>
      <c r="E56" s="56"/>
      <c r="F56" s="40"/>
      <c r="G56" s="13"/>
    </row>
    <row r="57" spans="1:7" x14ac:dyDescent="0.25">
      <c r="A57" s="2">
        <f>A56+1</f>
        <v>32</v>
      </c>
      <c r="C57" s="859" t="s">
        <v>1863</v>
      </c>
      <c r="D57" s="56"/>
      <c r="E57" s="40"/>
      <c r="F57" s="13"/>
      <c r="G57" s="13"/>
    </row>
    <row r="59" spans="1:7" x14ac:dyDescent="0.25">
      <c r="C59" s="1" t="s">
        <v>1511</v>
      </c>
    </row>
    <row r="60" spans="1:7" x14ac:dyDescent="0.25">
      <c r="C60" s="1"/>
    </row>
    <row r="61" spans="1:7" ht="14.4" x14ac:dyDescent="0.3">
      <c r="C61" s="1"/>
      <c r="E61" s="210" t="s">
        <v>282</v>
      </c>
    </row>
    <row r="62" spans="1:7" ht="14.4" x14ac:dyDescent="0.3">
      <c r="C62" s="1"/>
      <c r="D62" s="210" t="s">
        <v>1406</v>
      </c>
      <c r="E62" s="210" t="s">
        <v>961</v>
      </c>
    </row>
    <row r="63" spans="1:7" x14ac:dyDescent="0.25">
      <c r="D63" s="3" t="s">
        <v>176</v>
      </c>
      <c r="E63" s="3" t="s">
        <v>176</v>
      </c>
      <c r="F63" s="3" t="s">
        <v>180</v>
      </c>
    </row>
    <row r="64" spans="1:7" x14ac:dyDescent="0.25">
      <c r="A64" s="2">
        <f>A57+1</f>
        <v>33</v>
      </c>
      <c r="C64" s="83" t="s">
        <v>1250</v>
      </c>
      <c r="D64" s="940">
        <v>0</v>
      </c>
      <c r="E64" s="940">
        <v>0</v>
      </c>
      <c r="F64" s="15" t="str">
        <f>"Line "&amp;A26&amp;""</f>
        <v>Line 15</v>
      </c>
    </row>
    <row r="65" spans="1:9" x14ac:dyDescent="0.25">
      <c r="A65" s="2">
        <f>A64+1</f>
        <v>34</v>
      </c>
      <c r="C65" s="83" t="s">
        <v>265</v>
      </c>
      <c r="D65" s="940">
        <v>0</v>
      </c>
      <c r="E65" s="940">
        <v>0</v>
      </c>
      <c r="F65" s="15" t="str">
        <f>"Line "&amp;A34&amp;""</f>
        <v>Line 19</v>
      </c>
    </row>
    <row r="66" spans="1:9" x14ac:dyDescent="0.25">
      <c r="A66" s="2">
        <f>A65+1</f>
        <v>35</v>
      </c>
      <c r="C66" s="83" t="s">
        <v>1252</v>
      </c>
      <c r="D66" s="940">
        <v>0</v>
      </c>
      <c r="E66" s="940">
        <v>0</v>
      </c>
      <c r="F66" s="15" t="str">
        <f>"Line "&amp;A48&amp;""</f>
        <v>Line 27</v>
      </c>
    </row>
    <row r="67" spans="1:9" x14ac:dyDescent="0.25">
      <c r="A67" s="2">
        <f>A66+1</f>
        <v>36</v>
      </c>
      <c r="C67" s="83" t="s">
        <v>1253</v>
      </c>
      <c r="D67" s="940">
        <v>0</v>
      </c>
      <c r="E67" s="940">
        <v>0</v>
      </c>
      <c r="F67" s="15" t="str">
        <f>"Line "&amp;A55&amp;""</f>
        <v>Line 30</v>
      </c>
    </row>
    <row r="68" spans="1:9" ht="15" x14ac:dyDescent="0.4">
      <c r="A68" s="436">
        <f t="shared" ref="A68:A69" si="2">A67+1</f>
        <v>37</v>
      </c>
      <c r="C68" s="83" t="s">
        <v>1452</v>
      </c>
      <c r="D68" s="941">
        <v>0</v>
      </c>
      <c r="E68" s="941">
        <v>0</v>
      </c>
      <c r="F68" s="12" t="s">
        <v>364</v>
      </c>
    </row>
    <row r="69" spans="1:9" x14ac:dyDescent="0.25">
      <c r="A69" s="436">
        <f t="shared" si="2"/>
        <v>38</v>
      </c>
      <c r="C69" s="83" t="s">
        <v>4</v>
      </c>
      <c r="D69" s="940">
        <v>0</v>
      </c>
      <c r="E69" s="940">
        <v>0</v>
      </c>
      <c r="F69" s="12" t="str">
        <f>"Sum Lines "&amp;A64&amp;" to "&amp;A68&amp;""</f>
        <v>Sum Lines 33 to 37</v>
      </c>
    </row>
    <row r="70" spans="1:9" x14ac:dyDescent="0.25">
      <c r="A70" s="2"/>
      <c r="D70" s="83"/>
      <c r="E70" s="6"/>
      <c r="F70" s="12"/>
    </row>
    <row r="71" spans="1:9" ht="12.75" customHeight="1" x14ac:dyDescent="0.3">
      <c r="A71" s="2"/>
      <c r="C71" s="327" t="s">
        <v>1512</v>
      </c>
      <c r="D71" s="83"/>
      <c r="E71" s="6"/>
      <c r="F71" s="12"/>
    </row>
    <row r="72" spans="1:9" x14ac:dyDescent="0.25">
      <c r="A72" s="2"/>
      <c r="D72" s="83"/>
      <c r="E72" s="6"/>
      <c r="F72" s="12"/>
    </row>
    <row r="73" spans="1:9" ht="12.75" customHeight="1" x14ac:dyDescent="0.3">
      <c r="A73" s="2"/>
      <c r="C73" s="327" t="s">
        <v>1407</v>
      </c>
      <c r="D73" s="83"/>
      <c r="E73" s="6"/>
      <c r="F73" s="12"/>
    </row>
    <row r="74" spans="1:9" ht="14.4" x14ac:dyDescent="0.3">
      <c r="A74" s="2"/>
      <c r="C74" s="327"/>
      <c r="D74" s="76" t="s">
        <v>363</v>
      </c>
      <c r="E74" s="76" t="s">
        <v>347</v>
      </c>
      <c r="F74" s="76" t="s">
        <v>348</v>
      </c>
      <c r="G74" s="76" t="s">
        <v>349</v>
      </c>
      <c r="H74" s="76" t="s">
        <v>350</v>
      </c>
    </row>
    <row r="75" spans="1:9" ht="14.4" x14ac:dyDescent="0.3">
      <c r="A75" s="2"/>
      <c r="C75" s="327"/>
      <c r="D75" s="2" t="s">
        <v>1408</v>
      </c>
      <c r="E75" s="432" t="s">
        <v>1409</v>
      </c>
      <c r="F75" s="2"/>
      <c r="H75" s="85" t="s">
        <v>1458</v>
      </c>
    </row>
    <row r="76" spans="1:9" ht="14.4" x14ac:dyDescent="0.3">
      <c r="A76" s="2"/>
      <c r="C76" s="3" t="s">
        <v>227</v>
      </c>
      <c r="D76" s="3" t="s">
        <v>1410</v>
      </c>
      <c r="E76" s="373" t="s">
        <v>1411</v>
      </c>
      <c r="F76" s="3" t="s">
        <v>9</v>
      </c>
      <c r="G76" s="3" t="s">
        <v>1415</v>
      </c>
      <c r="H76" s="3" t="s">
        <v>197</v>
      </c>
      <c r="I76" s="3" t="s">
        <v>180</v>
      </c>
    </row>
    <row r="77" spans="1:9" x14ac:dyDescent="0.25">
      <c r="A77" s="2">
        <f>A69+1</f>
        <v>39</v>
      </c>
      <c r="C77" s="83" t="s">
        <v>1261</v>
      </c>
      <c r="D77" s="940">
        <v>0</v>
      </c>
      <c r="E77" s="940">
        <v>0</v>
      </c>
      <c r="F77" s="940">
        <v>0</v>
      </c>
      <c r="G77" s="940">
        <v>0</v>
      </c>
      <c r="H77" s="940">
        <v>0</v>
      </c>
      <c r="I77" s="12" t="s">
        <v>365</v>
      </c>
    </row>
    <row r="78" spans="1:9" x14ac:dyDescent="0.25">
      <c r="A78" s="2">
        <f t="shared" ref="A78:A88" si="3">A77+1</f>
        <v>40</v>
      </c>
      <c r="C78" s="83" t="s">
        <v>1262</v>
      </c>
      <c r="D78" s="940">
        <v>0</v>
      </c>
      <c r="E78" s="940">
        <v>0</v>
      </c>
      <c r="F78" s="940">
        <v>0</v>
      </c>
      <c r="G78" s="940">
        <v>0</v>
      </c>
      <c r="H78" s="940">
        <v>0</v>
      </c>
      <c r="I78" s="12" t="s">
        <v>365</v>
      </c>
    </row>
    <row r="79" spans="1:9" x14ac:dyDescent="0.25">
      <c r="A79" s="2">
        <f t="shared" si="3"/>
        <v>41</v>
      </c>
      <c r="C79" s="83" t="s">
        <v>1266</v>
      </c>
      <c r="D79" s="940">
        <v>0</v>
      </c>
      <c r="E79" s="940">
        <v>0</v>
      </c>
      <c r="F79" s="940">
        <v>0</v>
      </c>
      <c r="G79" s="940">
        <v>0</v>
      </c>
      <c r="H79" s="940">
        <v>0</v>
      </c>
      <c r="I79" s="12" t="s">
        <v>365</v>
      </c>
    </row>
    <row r="80" spans="1:9" x14ac:dyDescent="0.25">
      <c r="A80" s="2">
        <f t="shared" si="3"/>
        <v>42</v>
      </c>
      <c r="C80" s="83" t="s">
        <v>1267</v>
      </c>
      <c r="D80" s="940">
        <v>0</v>
      </c>
      <c r="E80" s="940">
        <v>0</v>
      </c>
      <c r="F80" s="940">
        <v>0</v>
      </c>
      <c r="G80" s="940">
        <v>0</v>
      </c>
      <c r="H80" s="940">
        <v>0</v>
      </c>
      <c r="I80" s="12" t="s">
        <v>365</v>
      </c>
    </row>
    <row r="81" spans="1:9" x14ac:dyDescent="0.25">
      <c r="A81" s="2">
        <f t="shared" si="3"/>
        <v>43</v>
      </c>
      <c r="C81" s="83" t="s">
        <v>1263</v>
      </c>
      <c r="D81" s="940">
        <v>0</v>
      </c>
      <c r="E81" s="940">
        <v>0</v>
      </c>
      <c r="F81" s="940">
        <v>0</v>
      </c>
      <c r="G81" s="940">
        <v>0</v>
      </c>
      <c r="H81" s="940">
        <v>0</v>
      </c>
      <c r="I81" s="12" t="s">
        <v>365</v>
      </c>
    </row>
    <row r="82" spans="1:9" x14ac:dyDescent="0.25">
      <c r="A82" s="2">
        <f t="shared" si="3"/>
        <v>44</v>
      </c>
      <c r="C82" s="83" t="s">
        <v>1264</v>
      </c>
      <c r="D82" s="940">
        <v>0</v>
      </c>
      <c r="E82" s="940">
        <v>0</v>
      </c>
      <c r="F82" s="940">
        <v>0</v>
      </c>
      <c r="G82" s="940">
        <v>0</v>
      </c>
      <c r="H82" s="940">
        <v>0</v>
      </c>
      <c r="I82" s="12" t="s">
        <v>365</v>
      </c>
    </row>
    <row r="83" spans="1:9" x14ac:dyDescent="0.25">
      <c r="A83" s="2">
        <f t="shared" si="3"/>
        <v>45</v>
      </c>
      <c r="C83" s="83" t="s">
        <v>1265</v>
      </c>
      <c r="D83" s="940">
        <v>0</v>
      </c>
      <c r="E83" s="940">
        <v>0</v>
      </c>
      <c r="F83" s="940">
        <v>0</v>
      </c>
      <c r="G83" s="940">
        <v>0</v>
      </c>
      <c r="H83" s="940">
        <v>0</v>
      </c>
      <c r="I83" s="12" t="s">
        <v>365</v>
      </c>
    </row>
    <row r="84" spans="1:9" x14ac:dyDescent="0.25">
      <c r="A84" s="2">
        <f t="shared" si="3"/>
        <v>46</v>
      </c>
      <c r="C84" s="377"/>
      <c r="D84" s="940">
        <v>0</v>
      </c>
      <c r="E84" s="940">
        <v>0</v>
      </c>
      <c r="F84" s="940">
        <v>0</v>
      </c>
      <c r="G84" s="940">
        <v>0</v>
      </c>
      <c r="H84" s="940">
        <v>0</v>
      </c>
      <c r="I84" s="12" t="s">
        <v>365</v>
      </c>
    </row>
    <row r="85" spans="1:9" x14ac:dyDescent="0.25">
      <c r="A85" s="2">
        <f t="shared" si="3"/>
        <v>47</v>
      </c>
      <c r="C85" s="377"/>
      <c r="D85" s="940">
        <v>0</v>
      </c>
      <c r="E85" s="940">
        <v>0</v>
      </c>
      <c r="F85" s="940">
        <v>0</v>
      </c>
      <c r="G85" s="940">
        <v>0</v>
      </c>
      <c r="H85" s="940">
        <v>0</v>
      </c>
      <c r="I85" s="12" t="s">
        <v>365</v>
      </c>
    </row>
    <row r="86" spans="1:9" x14ac:dyDescent="0.25">
      <c r="A86" s="2">
        <f t="shared" si="3"/>
        <v>48</v>
      </c>
      <c r="C86" s="377"/>
      <c r="D86" s="940">
        <v>0</v>
      </c>
      <c r="E86" s="940">
        <v>0</v>
      </c>
      <c r="F86" s="940">
        <v>0</v>
      </c>
      <c r="G86" s="940">
        <v>0</v>
      </c>
      <c r="H86" s="940">
        <v>0</v>
      </c>
      <c r="I86" s="12" t="s">
        <v>365</v>
      </c>
    </row>
    <row r="87" spans="1:9" ht="15" x14ac:dyDescent="0.4">
      <c r="A87" s="2">
        <f t="shared" si="3"/>
        <v>49</v>
      </c>
      <c r="C87" s="377"/>
      <c r="D87" s="941">
        <v>0</v>
      </c>
      <c r="E87" s="941">
        <v>0</v>
      </c>
      <c r="F87" s="941">
        <v>0</v>
      </c>
      <c r="G87" s="941">
        <v>0</v>
      </c>
      <c r="H87" s="941">
        <v>0</v>
      </c>
      <c r="I87" s="12" t="s">
        <v>365</v>
      </c>
    </row>
    <row r="88" spans="1:9" x14ac:dyDescent="0.25">
      <c r="A88" s="2">
        <f t="shared" si="3"/>
        <v>50</v>
      </c>
      <c r="C88" s="83" t="s">
        <v>198</v>
      </c>
      <c r="D88" s="940">
        <v>0</v>
      </c>
      <c r="E88" s="940">
        <v>0</v>
      </c>
      <c r="F88" s="940">
        <v>0</v>
      </c>
      <c r="G88" s="940">
        <v>0</v>
      </c>
      <c r="H88" s="940">
        <v>0</v>
      </c>
      <c r="I88" s="12" t="str">
        <f>"Sum L "&amp;A77&amp;" to L "&amp;A87&amp;""</f>
        <v>Sum L 39 to L 49</v>
      </c>
    </row>
    <row r="89" spans="1:9" x14ac:dyDescent="0.25">
      <c r="A89" s="2"/>
      <c r="C89" s="83"/>
      <c r="D89" s="83"/>
      <c r="E89" s="6"/>
      <c r="F89" s="12"/>
    </row>
    <row r="90" spans="1:9" ht="14.4" x14ac:dyDescent="0.3">
      <c r="A90" s="2"/>
      <c r="C90" s="327" t="s">
        <v>1513</v>
      </c>
      <c r="D90" s="83"/>
      <c r="E90" s="6"/>
      <c r="F90" s="12"/>
    </row>
    <row r="91" spans="1:9" ht="14.4" x14ac:dyDescent="0.3">
      <c r="A91" s="2"/>
      <c r="C91" s="327"/>
      <c r="D91" s="76" t="s">
        <v>363</v>
      </c>
      <c r="E91" s="76" t="s">
        <v>347</v>
      </c>
      <c r="F91" s="76" t="s">
        <v>348</v>
      </c>
      <c r="G91" s="76" t="s">
        <v>349</v>
      </c>
      <c r="H91" s="76" t="s">
        <v>350</v>
      </c>
    </row>
    <row r="92" spans="1:9" ht="14.4" x14ac:dyDescent="0.3">
      <c r="A92" s="2"/>
      <c r="C92" s="327"/>
      <c r="D92" s="2" t="s">
        <v>1408</v>
      </c>
      <c r="E92" s="432" t="s">
        <v>1409</v>
      </c>
      <c r="F92" s="2"/>
      <c r="H92" s="85" t="s">
        <v>1458</v>
      </c>
    </row>
    <row r="93" spans="1:9" ht="14.4" x14ac:dyDescent="0.3">
      <c r="A93" s="2"/>
      <c r="C93" s="3" t="s">
        <v>227</v>
      </c>
      <c r="D93" s="3" t="s">
        <v>1410</v>
      </c>
      <c r="E93" s="373" t="s">
        <v>1411</v>
      </c>
      <c r="F93" s="3" t="s">
        <v>9</v>
      </c>
      <c r="G93" s="3" t="s">
        <v>1415</v>
      </c>
      <c r="H93" s="3" t="s">
        <v>197</v>
      </c>
      <c r="I93" s="3" t="s">
        <v>180</v>
      </c>
    </row>
    <row r="94" spans="1:9" x14ac:dyDescent="0.25">
      <c r="A94" s="2">
        <f>A88+1</f>
        <v>51</v>
      </c>
      <c r="C94" s="83" t="s">
        <v>1261</v>
      </c>
      <c r="D94" s="940">
        <v>0</v>
      </c>
      <c r="E94" s="940">
        <v>0</v>
      </c>
      <c r="F94" s="940">
        <v>0</v>
      </c>
      <c r="G94" s="940">
        <v>0</v>
      </c>
      <c r="H94" s="940">
        <v>0</v>
      </c>
      <c r="I94" s="12" t="s">
        <v>1167</v>
      </c>
    </row>
    <row r="95" spans="1:9" x14ac:dyDescent="0.25">
      <c r="A95" s="2">
        <f t="shared" ref="A95:A105" si="4">A94+1</f>
        <v>52</v>
      </c>
      <c r="C95" s="83" t="s">
        <v>1262</v>
      </c>
      <c r="D95" s="940">
        <v>0</v>
      </c>
      <c r="E95" s="940">
        <v>0</v>
      </c>
      <c r="F95" s="940">
        <v>0</v>
      </c>
      <c r="G95" s="940">
        <v>0</v>
      </c>
      <c r="H95" s="940">
        <v>0</v>
      </c>
      <c r="I95" s="12" t="s">
        <v>1167</v>
      </c>
    </row>
    <row r="96" spans="1:9" x14ac:dyDescent="0.25">
      <c r="A96" s="2">
        <f t="shared" si="4"/>
        <v>53</v>
      </c>
      <c r="C96" s="83" t="s">
        <v>1266</v>
      </c>
      <c r="D96" s="940">
        <v>0</v>
      </c>
      <c r="E96" s="940">
        <v>0</v>
      </c>
      <c r="F96" s="940">
        <v>0</v>
      </c>
      <c r="G96" s="940">
        <v>0</v>
      </c>
      <c r="H96" s="940">
        <v>0</v>
      </c>
      <c r="I96" s="12" t="s">
        <v>1167</v>
      </c>
    </row>
    <row r="97" spans="1:9" x14ac:dyDescent="0.25">
      <c r="A97" s="2">
        <f t="shared" si="4"/>
        <v>54</v>
      </c>
      <c r="C97" s="83" t="s">
        <v>1267</v>
      </c>
      <c r="D97" s="940">
        <v>0</v>
      </c>
      <c r="E97" s="940">
        <v>0</v>
      </c>
      <c r="F97" s="940">
        <v>0</v>
      </c>
      <c r="G97" s="940">
        <v>0</v>
      </c>
      <c r="H97" s="940">
        <v>0</v>
      </c>
      <c r="I97" s="12" t="s">
        <v>1167</v>
      </c>
    </row>
    <row r="98" spans="1:9" x14ac:dyDescent="0.25">
      <c r="A98" s="2">
        <f t="shared" si="4"/>
        <v>55</v>
      </c>
      <c r="C98" s="83" t="s">
        <v>1263</v>
      </c>
      <c r="D98" s="940">
        <v>0</v>
      </c>
      <c r="E98" s="940">
        <v>0</v>
      </c>
      <c r="F98" s="940">
        <v>0</v>
      </c>
      <c r="G98" s="940">
        <v>0</v>
      </c>
      <c r="H98" s="940">
        <v>0</v>
      </c>
      <c r="I98" s="12" t="s">
        <v>1167</v>
      </c>
    </row>
    <row r="99" spans="1:9" x14ac:dyDescent="0.25">
      <c r="A99" s="2">
        <f t="shared" si="4"/>
        <v>56</v>
      </c>
      <c r="C99" s="83" t="s">
        <v>1264</v>
      </c>
      <c r="D99" s="940">
        <v>0</v>
      </c>
      <c r="E99" s="940">
        <v>0</v>
      </c>
      <c r="F99" s="940">
        <v>0</v>
      </c>
      <c r="G99" s="940">
        <v>0</v>
      </c>
      <c r="H99" s="940">
        <v>0</v>
      </c>
      <c r="I99" s="12" t="s">
        <v>1167</v>
      </c>
    </row>
    <row r="100" spans="1:9" x14ac:dyDescent="0.25">
      <c r="A100" s="2">
        <f t="shared" si="4"/>
        <v>57</v>
      </c>
      <c r="C100" s="83" t="s">
        <v>1265</v>
      </c>
      <c r="D100" s="940">
        <v>0</v>
      </c>
      <c r="E100" s="940">
        <v>0</v>
      </c>
      <c r="F100" s="940">
        <v>0</v>
      </c>
      <c r="G100" s="940">
        <v>0</v>
      </c>
      <c r="H100" s="940">
        <v>0</v>
      </c>
      <c r="I100" s="12" t="s">
        <v>1167</v>
      </c>
    </row>
    <row r="101" spans="1:9" x14ac:dyDescent="0.25">
      <c r="A101" s="2">
        <f t="shared" si="4"/>
        <v>58</v>
      </c>
      <c r="C101" s="377"/>
      <c r="D101" s="940">
        <v>0</v>
      </c>
      <c r="E101" s="940">
        <v>0</v>
      </c>
      <c r="F101" s="940">
        <v>0</v>
      </c>
      <c r="G101" s="940">
        <v>0</v>
      </c>
      <c r="H101" s="940">
        <v>0</v>
      </c>
      <c r="I101" s="12" t="s">
        <v>1167</v>
      </c>
    </row>
    <row r="102" spans="1:9" x14ac:dyDescent="0.25">
      <c r="A102" s="2">
        <f t="shared" si="4"/>
        <v>59</v>
      </c>
      <c r="C102" s="377"/>
      <c r="D102" s="940">
        <v>0</v>
      </c>
      <c r="E102" s="940">
        <v>0</v>
      </c>
      <c r="F102" s="940">
        <v>0</v>
      </c>
      <c r="G102" s="940">
        <v>0</v>
      </c>
      <c r="H102" s="940">
        <v>0</v>
      </c>
      <c r="I102" s="12" t="s">
        <v>1167</v>
      </c>
    </row>
    <row r="103" spans="1:9" x14ac:dyDescent="0.25">
      <c r="A103" s="2">
        <f t="shared" si="4"/>
        <v>60</v>
      </c>
      <c r="C103" s="377"/>
      <c r="D103" s="940">
        <v>0</v>
      </c>
      <c r="E103" s="940">
        <v>0</v>
      </c>
      <c r="F103" s="940">
        <v>0</v>
      </c>
      <c r="G103" s="940">
        <v>0</v>
      </c>
      <c r="H103" s="940">
        <v>0</v>
      </c>
      <c r="I103" s="12" t="s">
        <v>1167</v>
      </c>
    </row>
    <row r="104" spans="1:9" ht="15" x14ac:dyDescent="0.4">
      <c r="A104" s="2">
        <f t="shared" si="4"/>
        <v>61</v>
      </c>
      <c r="C104" s="377"/>
      <c r="D104" s="941">
        <v>0</v>
      </c>
      <c r="E104" s="941">
        <v>0</v>
      </c>
      <c r="F104" s="941">
        <v>0</v>
      </c>
      <c r="G104" s="941">
        <v>0</v>
      </c>
      <c r="H104" s="941">
        <v>0</v>
      </c>
      <c r="I104" s="12" t="s">
        <v>1167</v>
      </c>
    </row>
    <row r="105" spans="1:9" x14ac:dyDescent="0.25">
      <c r="A105" s="2">
        <f t="shared" si="4"/>
        <v>62</v>
      </c>
      <c r="C105" s="83" t="s">
        <v>198</v>
      </c>
      <c r="D105" s="940">
        <v>0</v>
      </c>
      <c r="E105" s="940">
        <v>0</v>
      </c>
      <c r="F105" s="940">
        <v>0</v>
      </c>
      <c r="G105" s="940">
        <v>0</v>
      </c>
      <c r="H105" s="940">
        <v>0</v>
      </c>
      <c r="I105" s="12" t="str">
        <f>"Sum of L "&amp;A94&amp;" to "&amp;A104&amp;""</f>
        <v>Sum of L 51 to 61</v>
      </c>
    </row>
    <row r="106" spans="1:9" x14ac:dyDescent="0.25">
      <c r="C106" s="83"/>
    </row>
    <row r="107" spans="1:9" x14ac:dyDescent="0.25">
      <c r="B107" s="1" t="s">
        <v>1259</v>
      </c>
    </row>
    <row r="108" spans="1:9" x14ac:dyDescent="0.25">
      <c r="B108" s="1"/>
    </row>
    <row r="109" spans="1:9" ht="14.4" x14ac:dyDescent="0.3">
      <c r="B109" s="1"/>
      <c r="C109" s="327" t="s">
        <v>1412</v>
      </c>
    </row>
    <row r="110" spans="1:9" x14ac:dyDescent="0.25">
      <c r="E110" s="3" t="s">
        <v>172</v>
      </c>
      <c r="F110" s="3" t="s">
        <v>180</v>
      </c>
    </row>
    <row r="111" spans="1:9" x14ac:dyDescent="0.25">
      <c r="A111" s="2">
        <f>A105+1</f>
        <v>63</v>
      </c>
      <c r="D111" s="83" t="s">
        <v>358</v>
      </c>
      <c r="E111" s="940">
        <v>0</v>
      </c>
      <c r="F111" s="15" t="str">
        <f>"Line "&amp;A20&amp;", Col 3"</f>
        <v>Line 12, Col 3</v>
      </c>
    </row>
    <row r="112" spans="1:9" x14ac:dyDescent="0.25">
      <c r="A112" s="2">
        <f>A111+1</f>
        <v>64</v>
      </c>
      <c r="D112" s="83" t="s">
        <v>356</v>
      </c>
      <c r="E112" s="926" t="s">
        <v>2193</v>
      </c>
      <c r="F112" s="40" t="str">
        <f>"2-IFPTRR, Line "&amp;'2-IFPTRR'!A25&amp;""</f>
        <v>2-IFPTRR, Line 16</v>
      </c>
      <c r="G112" s="13"/>
      <c r="H112" s="13"/>
    </row>
    <row r="113" spans="1:8" x14ac:dyDescent="0.25">
      <c r="A113" s="2">
        <f>A112+1</f>
        <v>65</v>
      </c>
      <c r="D113" s="83" t="s">
        <v>1453</v>
      </c>
      <c r="E113" s="940">
        <v>0</v>
      </c>
      <c r="F113" s="96" t="str">
        <f>"Line "&amp;A111&amp;" * Line "&amp;A112&amp;""</f>
        <v>Line 63 * Line 64</v>
      </c>
      <c r="G113" s="13"/>
      <c r="H113" s="13"/>
    </row>
    <row r="114" spans="1:8" ht="15" x14ac:dyDescent="0.4">
      <c r="A114" s="436">
        <f>A113+1</f>
        <v>66</v>
      </c>
      <c r="D114" s="83" t="s">
        <v>1452</v>
      </c>
      <c r="E114" s="941">
        <v>0</v>
      </c>
      <c r="F114" s="442" t="str">
        <f>"Line "&amp;A113&amp;" * (28-FFU, L"&amp;'28-FFU'!A22&amp;" FF Factor + U Factor)"</f>
        <v>Line 65 * (28-FFU, L5 FF Factor + U Factor)</v>
      </c>
      <c r="G114" s="13"/>
      <c r="H114" s="13"/>
    </row>
    <row r="115" spans="1:8" x14ac:dyDescent="0.25">
      <c r="A115" s="439">
        <f>A114+1</f>
        <v>67</v>
      </c>
      <c r="D115" s="83" t="s">
        <v>1454</v>
      </c>
      <c r="E115" s="940">
        <v>0</v>
      </c>
      <c r="F115" s="96" t="str">
        <f>"Line "&amp;A113&amp;" + Line "&amp;A114&amp;""</f>
        <v>Line 65 + Line 66</v>
      </c>
      <c r="G115" s="13"/>
      <c r="H115" s="13"/>
    </row>
    <row r="116" spans="1:8" x14ac:dyDescent="0.25">
      <c r="A116" s="436"/>
      <c r="D116" s="83"/>
      <c r="E116" s="6"/>
    </row>
    <row r="117" spans="1:8" ht="14.4" x14ac:dyDescent="0.3">
      <c r="A117" s="2"/>
      <c r="C117" s="327" t="s">
        <v>1413</v>
      </c>
      <c r="D117" s="83"/>
      <c r="E117" s="6"/>
      <c r="F117" s="15"/>
    </row>
    <row r="118" spans="1:8" x14ac:dyDescent="0.25">
      <c r="A118" s="2"/>
      <c r="D118" s="463" t="s">
        <v>176</v>
      </c>
      <c r="E118" s="463" t="s">
        <v>176</v>
      </c>
    </row>
    <row r="119" spans="1:8" x14ac:dyDescent="0.25">
      <c r="A119" s="2"/>
      <c r="C119" s="3" t="s">
        <v>227</v>
      </c>
      <c r="D119" s="3" t="s">
        <v>1483</v>
      </c>
      <c r="E119" s="3" t="s">
        <v>1484</v>
      </c>
      <c r="F119" s="3" t="s">
        <v>180</v>
      </c>
    </row>
    <row r="120" spans="1:8" x14ac:dyDescent="0.25">
      <c r="A120" s="2">
        <f>A115+1</f>
        <v>68</v>
      </c>
      <c r="C120" s="83" t="s">
        <v>1261</v>
      </c>
      <c r="D120" s="940">
        <v>0</v>
      </c>
      <c r="E120" s="940">
        <v>0</v>
      </c>
      <c r="F120" s="12" t="s">
        <v>1182</v>
      </c>
    </row>
    <row r="121" spans="1:8" x14ac:dyDescent="0.25">
      <c r="A121" s="2">
        <f t="shared" ref="A121:A131" si="5">A120+1</f>
        <v>69</v>
      </c>
      <c r="C121" s="83" t="s">
        <v>1262</v>
      </c>
      <c r="D121" s="940">
        <v>0</v>
      </c>
      <c r="E121" s="940">
        <v>0</v>
      </c>
      <c r="F121" s="12" t="s">
        <v>1182</v>
      </c>
    </row>
    <row r="122" spans="1:8" x14ac:dyDescent="0.25">
      <c r="A122" s="2">
        <f t="shared" si="5"/>
        <v>70</v>
      </c>
      <c r="C122" s="83" t="s">
        <v>1266</v>
      </c>
      <c r="D122" s="940">
        <v>0</v>
      </c>
      <c r="E122" s="940">
        <v>0</v>
      </c>
      <c r="F122" s="12" t="s">
        <v>1182</v>
      </c>
    </row>
    <row r="123" spans="1:8" x14ac:dyDescent="0.25">
      <c r="A123" s="2">
        <f t="shared" si="5"/>
        <v>71</v>
      </c>
      <c r="C123" s="83" t="s">
        <v>1267</v>
      </c>
      <c r="D123" s="940">
        <v>0</v>
      </c>
      <c r="E123" s="940">
        <v>0</v>
      </c>
      <c r="F123" s="12" t="s">
        <v>1182</v>
      </c>
    </row>
    <row r="124" spans="1:8" x14ac:dyDescent="0.25">
      <c r="A124" s="2">
        <f t="shared" si="5"/>
        <v>72</v>
      </c>
      <c r="C124" s="83" t="s">
        <v>1263</v>
      </c>
      <c r="D124" s="940">
        <v>0</v>
      </c>
      <c r="E124" s="940">
        <v>0</v>
      </c>
      <c r="F124" s="12" t="s">
        <v>1182</v>
      </c>
    </row>
    <row r="125" spans="1:8" x14ac:dyDescent="0.25">
      <c r="A125" s="2">
        <f t="shared" si="5"/>
        <v>73</v>
      </c>
      <c r="C125" s="83" t="s">
        <v>1264</v>
      </c>
      <c r="D125" s="940">
        <v>0</v>
      </c>
      <c r="E125" s="940">
        <v>0</v>
      </c>
      <c r="F125" s="12" t="s">
        <v>1182</v>
      </c>
    </row>
    <row r="126" spans="1:8" x14ac:dyDescent="0.25">
      <c r="A126" s="2">
        <f t="shared" si="5"/>
        <v>74</v>
      </c>
      <c r="C126" s="83" t="s">
        <v>1265</v>
      </c>
      <c r="D126" s="940">
        <v>0</v>
      </c>
      <c r="E126" s="940">
        <v>0</v>
      </c>
      <c r="F126" s="12" t="s">
        <v>1182</v>
      </c>
    </row>
    <row r="127" spans="1:8" x14ac:dyDescent="0.25">
      <c r="A127" s="2">
        <f t="shared" si="5"/>
        <v>75</v>
      </c>
      <c r="C127" s="377"/>
      <c r="D127" s="940">
        <v>0</v>
      </c>
      <c r="E127" s="940">
        <v>0</v>
      </c>
      <c r="F127" s="12" t="s">
        <v>1182</v>
      </c>
    </row>
    <row r="128" spans="1:8" x14ac:dyDescent="0.25">
      <c r="A128" s="2">
        <f t="shared" si="5"/>
        <v>76</v>
      </c>
      <c r="C128" s="377"/>
      <c r="D128" s="940">
        <v>0</v>
      </c>
      <c r="E128" s="940">
        <v>0</v>
      </c>
      <c r="F128" s="12" t="s">
        <v>1182</v>
      </c>
    </row>
    <row r="129" spans="1:8" x14ac:dyDescent="0.25">
      <c r="A129" s="2">
        <f t="shared" si="5"/>
        <v>77</v>
      </c>
      <c r="C129" s="377"/>
      <c r="D129" s="940">
        <v>0</v>
      </c>
      <c r="E129" s="940">
        <v>0</v>
      </c>
      <c r="F129" s="12" t="s">
        <v>1182</v>
      </c>
    </row>
    <row r="130" spans="1:8" ht="15" x14ac:dyDescent="0.4">
      <c r="A130" s="2">
        <f t="shared" si="5"/>
        <v>78</v>
      </c>
      <c r="C130" s="377"/>
      <c r="D130" s="941">
        <v>0</v>
      </c>
      <c r="E130" s="941">
        <v>0</v>
      </c>
      <c r="F130" s="12" t="s">
        <v>1182</v>
      </c>
    </row>
    <row r="131" spans="1:8" x14ac:dyDescent="0.25">
      <c r="A131" s="2">
        <f t="shared" si="5"/>
        <v>79</v>
      </c>
      <c r="C131" s="83" t="s">
        <v>198</v>
      </c>
      <c r="D131" s="940">
        <v>0</v>
      </c>
      <c r="E131" s="940">
        <v>0</v>
      </c>
      <c r="F131" s="12" t="str">
        <f>"Sum of Lines "&amp;A120&amp;" to "&amp;A130&amp;""</f>
        <v>Sum of Lines 68 to 78</v>
      </c>
    </row>
    <row r="133" spans="1:8" x14ac:dyDescent="0.25">
      <c r="B133" s="1" t="s">
        <v>1489</v>
      </c>
    </row>
    <row r="134" spans="1:8" x14ac:dyDescent="0.25">
      <c r="B134" s="1"/>
    </row>
    <row r="135" spans="1:8" ht="14.4" x14ac:dyDescent="0.3">
      <c r="C135" s="327" t="s">
        <v>1412</v>
      </c>
    </row>
    <row r="136" spans="1:8" x14ac:dyDescent="0.25">
      <c r="E136" s="3" t="s">
        <v>172</v>
      </c>
      <c r="F136" s="3" t="s">
        <v>180</v>
      </c>
      <c r="H136" s="1"/>
    </row>
    <row r="137" spans="1:8" x14ac:dyDescent="0.25">
      <c r="A137" s="2">
        <f>A131+1</f>
        <v>80</v>
      </c>
      <c r="D137" s="83" t="s">
        <v>1268</v>
      </c>
      <c r="E137" s="940">
        <v>0</v>
      </c>
      <c r="F137" s="15" t="str">
        <f>"Sum Line "&amp;A64&amp;" to "&amp;A67&amp;""</f>
        <v>Sum Line 33 to 36</v>
      </c>
    </row>
    <row r="138" spans="1:8" x14ac:dyDescent="0.25">
      <c r="A138" s="2">
        <f t="shared" ref="A138:A145" si="6">A137+1</f>
        <v>81</v>
      </c>
      <c r="D138" s="441" t="s">
        <v>1481</v>
      </c>
      <c r="E138" s="940">
        <v>0</v>
      </c>
      <c r="F138" s="15" t="str">
        <f>"Line "&amp;A113&amp;""</f>
        <v>Line 65</v>
      </c>
    </row>
    <row r="139" spans="1:8" x14ac:dyDescent="0.25">
      <c r="A139" s="2">
        <f t="shared" si="6"/>
        <v>82</v>
      </c>
      <c r="D139" s="83" t="s">
        <v>1269</v>
      </c>
      <c r="E139" s="940">
        <v>0</v>
      </c>
      <c r="F139" s="15" t="str">
        <f>"Line "&amp;A137&amp;" + Line "&amp;A138&amp;""</f>
        <v>Line 80 + Line 81</v>
      </c>
    </row>
    <row r="140" spans="1:8" x14ac:dyDescent="0.25">
      <c r="A140" s="2">
        <f t="shared" si="6"/>
        <v>83</v>
      </c>
      <c r="D140" s="83" t="s">
        <v>1254</v>
      </c>
      <c r="E140" s="926" t="s">
        <v>2193</v>
      </c>
      <c r="F140" s="40" t="str">
        <f>"28-FFU, Line "&amp;'28-FFU'!A22&amp;""</f>
        <v>28-FFU, Line 5</v>
      </c>
    </row>
    <row r="141" spans="1:8" x14ac:dyDescent="0.25">
      <c r="A141" s="2">
        <f t="shared" si="6"/>
        <v>84</v>
      </c>
      <c r="D141" s="83" t="s">
        <v>1255</v>
      </c>
      <c r="E141" s="926" t="s">
        <v>2193</v>
      </c>
      <c r="F141" s="40" t="str">
        <f>"28-FFU, Line "&amp;'28-FFU'!A22&amp;""</f>
        <v>28-FFU, Line 5</v>
      </c>
    </row>
    <row r="142" spans="1:8" x14ac:dyDescent="0.25">
      <c r="A142" s="2">
        <f t="shared" si="6"/>
        <v>85</v>
      </c>
      <c r="D142" s="441" t="s">
        <v>1487</v>
      </c>
      <c r="E142" s="940">
        <v>0</v>
      </c>
      <c r="F142" s="15" t="str">
        <f>"Line "&amp;A139&amp;" * Line "&amp;A140&amp;""</f>
        <v>Line 82 * Line 83</v>
      </c>
    </row>
    <row r="143" spans="1:8" x14ac:dyDescent="0.25">
      <c r="A143" s="464">
        <f t="shared" si="6"/>
        <v>86</v>
      </c>
      <c r="D143" s="441" t="s">
        <v>1488</v>
      </c>
      <c r="E143" s="940">
        <v>0</v>
      </c>
      <c r="F143" s="15" t="str">
        <f>"Line "&amp;A139&amp;" * Line "&amp;A141&amp;""</f>
        <v>Line 82 * Line 84</v>
      </c>
    </row>
    <row r="144" spans="1:8" x14ac:dyDescent="0.25">
      <c r="A144" s="464">
        <f t="shared" si="6"/>
        <v>87</v>
      </c>
      <c r="D144" s="83" t="s">
        <v>1270</v>
      </c>
      <c r="E144" s="940">
        <v>0</v>
      </c>
      <c r="F144" s="12" t="str">
        <f>"Line "&amp;A139&amp;" + Line "&amp;A142&amp;" + Line "&amp;A143&amp;""</f>
        <v>Line 82 + Line 85 + Line 86</v>
      </c>
    </row>
    <row r="145" spans="1:8" x14ac:dyDescent="0.25">
      <c r="A145" s="464">
        <f t="shared" si="6"/>
        <v>88</v>
      </c>
      <c r="D145" s="441" t="s">
        <v>1486</v>
      </c>
      <c r="E145" s="940">
        <v>0</v>
      </c>
      <c r="F145" s="12" t="str">
        <f>"Line "&amp;A139&amp;" + Line "&amp;A142&amp;""</f>
        <v>Line 82 + Line 85</v>
      </c>
    </row>
    <row r="147" spans="1:8" ht="14.4" x14ac:dyDescent="0.3">
      <c r="C147" s="327" t="s">
        <v>1414</v>
      </c>
    </row>
    <row r="148" spans="1:8" ht="14.4" x14ac:dyDescent="0.3">
      <c r="C148" s="327"/>
      <c r="D148" s="76" t="s">
        <v>363</v>
      </c>
      <c r="E148" s="76" t="s">
        <v>347</v>
      </c>
      <c r="F148" s="76" t="s">
        <v>348</v>
      </c>
      <c r="G148" s="76" t="s">
        <v>349</v>
      </c>
    </row>
    <row r="149" spans="1:8" ht="12.75" customHeight="1" x14ac:dyDescent="0.3">
      <c r="D149" s="210" t="s">
        <v>1406</v>
      </c>
      <c r="E149" s="210" t="s">
        <v>1095</v>
      </c>
    </row>
    <row r="150" spans="1:8" ht="12.75" customHeight="1" x14ac:dyDescent="0.3">
      <c r="D150" s="3" t="s">
        <v>1483</v>
      </c>
      <c r="E150" s="3" t="s">
        <v>1483</v>
      </c>
      <c r="F150" s="3" t="s">
        <v>1415</v>
      </c>
      <c r="G150" s="211" t="s">
        <v>197</v>
      </c>
      <c r="H150" s="3" t="s">
        <v>180</v>
      </c>
    </row>
    <row r="151" spans="1:8" x14ac:dyDescent="0.25">
      <c r="A151" s="464">
        <f>A145+1</f>
        <v>89</v>
      </c>
      <c r="C151" s="83" t="s">
        <v>1261</v>
      </c>
      <c r="D151" s="940">
        <v>0</v>
      </c>
      <c r="E151" s="940">
        <v>0</v>
      </c>
      <c r="F151" s="940">
        <v>0</v>
      </c>
      <c r="G151" s="940">
        <v>0</v>
      </c>
      <c r="H151" s="12" t="s">
        <v>1184</v>
      </c>
    </row>
    <row r="152" spans="1:8" x14ac:dyDescent="0.25">
      <c r="A152" s="464">
        <f t="shared" ref="A152:A162" si="7">A151+1</f>
        <v>90</v>
      </c>
      <c r="C152" s="83" t="s">
        <v>1262</v>
      </c>
      <c r="D152" s="940">
        <v>0</v>
      </c>
      <c r="E152" s="940">
        <v>0</v>
      </c>
      <c r="F152" s="940">
        <v>0</v>
      </c>
      <c r="G152" s="940">
        <v>0</v>
      </c>
      <c r="H152" s="12" t="s">
        <v>1184</v>
      </c>
    </row>
    <row r="153" spans="1:8" x14ac:dyDescent="0.25">
      <c r="A153" s="464">
        <f t="shared" si="7"/>
        <v>91</v>
      </c>
      <c r="C153" s="83" t="s">
        <v>1266</v>
      </c>
      <c r="D153" s="940">
        <v>0</v>
      </c>
      <c r="E153" s="940">
        <v>0</v>
      </c>
      <c r="F153" s="940">
        <v>0</v>
      </c>
      <c r="G153" s="940">
        <v>0</v>
      </c>
      <c r="H153" s="12" t="s">
        <v>1184</v>
      </c>
    </row>
    <row r="154" spans="1:8" x14ac:dyDescent="0.25">
      <c r="A154" s="464">
        <f t="shared" si="7"/>
        <v>92</v>
      </c>
      <c r="C154" s="83" t="s">
        <v>1267</v>
      </c>
      <c r="D154" s="940">
        <v>0</v>
      </c>
      <c r="E154" s="940">
        <v>0</v>
      </c>
      <c r="F154" s="940">
        <v>0</v>
      </c>
      <c r="G154" s="940">
        <v>0</v>
      </c>
      <c r="H154" s="12" t="s">
        <v>1184</v>
      </c>
    </row>
    <row r="155" spans="1:8" x14ac:dyDescent="0.25">
      <c r="A155" s="464">
        <f t="shared" si="7"/>
        <v>93</v>
      </c>
      <c r="C155" s="83" t="s">
        <v>1263</v>
      </c>
      <c r="D155" s="940">
        <v>0</v>
      </c>
      <c r="E155" s="940">
        <v>0</v>
      </c>
      <c r="F155" s="940">
        <v>0</v>
      </c>
      <c r="G155" s="940">
        <v>0</v>
      </c>
      <c r="H155" s="12" t="s">
        <v>1184</v>
      </c>
    </row>
    <row r="156" spans="1:8" x14ac:dyDescent="0.25">
      <c r="A156" s="464">
        <f t="shared" si="7"/>
        <v>94</v>
      </c>
      <c r="C156" s="83" t="s">
        <v>1264</v>
      </c>
      <c r="D156" s="940">
        <v>0</v>
      </c>
      <c r="E156" s="940">
        <v>0</v>
      </c>
      <c r="F156" s="940">
        <v>0</v>
      </c>
      <c r="G156" s="940">
        <v>0</v>
      </c>
      <c r="H156" s="12" t="s">
        <v>1184</v>
      </c>
    </row>
    <row r="157" spans="1:8" x14ac:dyDescent="0.25">
      <c r="A157" s="464">
        <f t="shared" si="7"/>
        <v>95</v>
      </c>
      <c r="C157" s="83" t="s">
        <v>1265</v>
      </c>
      <c r="D157" s="940">
        <v>0</v>
      </c>
      <c r="E157" s="940">
        <v>0</v>
      </c>
      <c r="F157" s="940">
        <v>0</v>
      </c>
      <c r="G157" s="940">
        <v>0</v>
      </c>
      <c r="H157" s="12" t="s">
        <v>1184</v>
      </c>
    </row>
    <row r="158" spans="1:8" x14ac:dyDescent="0.25">
      <c r="A158" s="464">
        <f t="shared" si="7"/>
        <v>96</v>
      </c>
      <c r="C158" s="377"/>
      <c r="D158" s="940">
        <v>0</v>
      </c>
      <c r="E158" s="940">
        <v>0</v>
      </c>
      <c r="F158" s="940">
        <v>0</v>
      </c>
      <c r="G158" s="940">
        <v>0</v>
      </c>
      <c r="H158" s="12" t="s">
        <v>1184</v>
      </c>
    </row>
    <row r="159" spans="1:8" x14ac:dyDescent="0.25">
      <c r="A159" s="464">
        <f t="shared" si="7"/>
        <v>97</v>
      </c>
      <c r="C159" s="377"/>
      <c r="D159" s="940">
        <v>0</v>
      </c>
      <c r="E159" s="940">
        <v>0</v>
      </c>
      <c r="F159" s="940">
        <v>0</v>
      </c>
      <c r="G159" s="940">
        <v>0</v>
      </c>
      <c r="H159" s="12" t="s">
        <v>1184</v>
      </c>
    </row>
    <row r="160" spans="1:8" x14ac:dyDescent="0.25">
      <c r="A160" s="464">
        <f t="shared" si="7"/>
        <v>98</v>
      </c>
      <c r="C160" s="377"/>
      <c r="D160" s="940">
        <v>0</v>
      </c>
      <c r="E160" s="940">
        <v>0</v>
      </c>
      <c r="F160" s="940">
        <v>0</v>
      </c>
      <c r="G160" s="940">
        <v>0</v>
      </c>
      <c r="H160" s="12" t="s">
        <v>1184</v>
      </c>
    </row>
    <row r="161" spans="1:8" ht="15" x14ac:dyDescent="0.4">
      <c r="A161" s="464">
        <f t="shared" si="7"/>
        <v>99</v>
      </c>
      <c r="C161" s="377"/>
      <c r="D161" s="941">
        <v>0</v>
      </c>
      <c r="E161" s="941">
        <v>0</v>
      </c>
      <c r="F161" s="941">
        <v>0</v>
      </c>
      <c r="G161" s="941">
        <v>0</v>
      </c>
      <c r="H161" s="12" t="s">
        <v>1184</v>
      </c>
    </row>
    <row r="162" spans="1:8" x14ac:dyDescent="0.25">
      <c r="A162" s="464">
        <f t="shared" si="7"/>
        <v>100</v>
      </c>
      <c r="C162" s="83" t="s">
        <v>198</v>
      </c>
      <c r="D162" s="940">
        <v>0</v>
      </c>
      <c r="E162" s="940">
        <v>0</v>
      </c>
      <c r="F162" s="940">
        <v>0</v>
      </c>
      <c r="G162" s="940">
        <v>0</v>
      </c>
    </row>
    <row r="164" spans="1:8" ht="14.4" x14ac:dyDescent="0.3">
      <c r="C164" s="327" t="s">
        <v>1482</v>
      </c>
    </row>
    <row r="165" spans="1:8" ht="14.4" x14ac:dyDescent="0.3">
      <c r="C165" s="327"/>
    </row>
    <row r="166" spans="1:8" x14ac:dyDescent="0.25">
      <c r="D166" s="76" t="s">
        <v>363</v>
      </c>
      <c r="E166" s="76" t="s">
        <v>347</v>
      </c>
      <c r="F166" s="76" t="s">
        <v>348</v>
      </c>
      <c r="G166" s="76" t="s">
        <v>349</v>
      </c>
    </row>
    <row r="167" spans="1:8" ht="12.75" customHeight="1" x14ac:dyDescent="0.3">
      <c r="D167" s="210" t="s">
        <v>1406</v>
      </c>
      <c r="E167" s="210" t="s">
        <v>1095</v>
      </c>
      <c r="F167" s="76"/>
      <c r="G167" s="76"/>
    </row>
    <row r="168" spans="1:8" ht="12.75" customHeight="1" x14ac:dyDescent="0.3">
      <c r="D168" s="3" t="s">
        <v>1483</v>
      </c>
      <c r="E168" s="3" t="s">
        <v>1483</v>
      </c>
      <c r="F168" s="3" t="s">
        <v>1457</v>
      </c>
      <c r="G168" s="211" t="s">
        <v>197</v>
      </c>
      <c r="H168" s="3" t="s">
        <v>180</v>
      </c>
    </row>
    <row r="169" spans="1:8" x14ac:dyDescent="0.25">
      <c r="A169" s="464">
        <f>A162+1</f>
        <v>101</v>
      </c>
      <c r="C169" s="83" t="s">
        <v>1261</v>
      </c>
      <c r="D169" s="940">
        <v>0</v>
      </c>
      <c r="E169" s="940">
        <v>0</v>
      </c>
      <c r="F169" s="940">
        <v>0</v>
      </c>
      <c r="G169" s="940">
        <v>0</v>
      </c>
      <c r="H169" s="447" t="s">
        <v>1185</v>
      </c>
    </row>
    <row r="170" spans="1:8" x14ac:dyDescent="0.25">
      <c r="A170" s="464">
        <f t="shared" ref="A170:A180" si="8">A169+1</f>
        <v>102</v>
      </c>
      <c r="C170" s="83" t="s">
        <v>1262</v>
      </c>
      <c r="D170" s="940">
        <v>0</v>
      </c>
      <c r="E170" s="940">
        <v>0</v>
      </c>
      <c r="F170" s="940">
        <v>0</v>
      </c>
      <c r="G170" s="940">
        <v>0</v>
      </c>
      <c r="H170" s="447" t="s">
        <v>1185</v>
      </c>
    </row>
    <row r="171" spans="1:8" x14ac:dyDescent="0.25">
      <c r="A171" s="464">
        <f t="shared" si="8"/>
        <v>103</v>
      </c>
      <c r="C171" s="83" t="s">
        <v>1266</v>
      </c>
      <c r="D171" s="940">
        <v>0</v>
      </c>
      <c r="E171" s="940">
        <v>0</v>
      </c>
      <c r="F171" s="940">
        <v>0</v>
      </c>
      <c r="G171" s="940">
        <v>0</v>
      </c>
      <c r="H171" s="447" t="s">
        <v>1185</v>
      </c>
    </row>
    <row r="172" spans="1:8" x14ac:dyDescent="0.25">
      <c r="A172" s="464">
        <f t="shared" si="8"/>
        <v>104</v>
      </c>
      <c r="C172" s="83" t="s">
        <v>1267</v>
      </c>
      <c r="D172" s="940">
        <v>0</v>
      </c>
      <c r="E172" s="940">
        <v>0</v>
      </c>
      <c r="F172" s="940">
        <v>0</v>
      </c>
      <c r="G172" s="940">
        <v>0</v>
      </c>
      <c r="H172" s="447" t="s">
        <v>1185</v>
      </c>
    </row>
    <row r="173" spans="1:8" x14ac:dyDescent="0.25">
      <c r="A173" s="464">
        <f t="shared" si="8"/>
        <v>105</v>
      </c>
      <c r="C173" s="83" t="s">
        <v>1263</v>
      </c>
      <c r="D173" s="940">
        <v>0</v>
      </c>
      <c r="E173" s="940">
        <v>0</v>
      </c>
      <c r="F173" s="940">
        <v>0</v>
      </c>
      <c r="G173" s="940">
        <v>0</v>
      </c>
      <c r="H173" s="447" t="s">
        <v>1185</v>
      </c>
    </row>
    <row r="174" spans="1:8" x14ac:dyDescent="0.25">
      <c r="A174" s="464">
        <f t="shared" si="8"/>
        <v>106</v>
      </c>
      <c r="C174" s="83" t="s">
        <v>1264</v>
      </c>
      <c r="D174" s="940">
        <v>0</v>
      </c>
      <c r="E174" s="940">
        <v>0</v>
      </c>
      <c r="F174" s="940">
        <v>0</v>
      </c>
      <c r="G174" s="940">
        <v>0</v>
      </c>
      <c r="H174" s="447" t="s">
        <v>1185</v>
      </c>
    </row>
    <row r="175" spans="1:8" x14ac:dyDescent="0.25">
      <c r="A175" s="464">
        <f t="shared" si="8"/>
        <v>107</v>
      </c>
      <c r="C175" s="83" t="s">
        <v>1265</v>
      </c>
      <c r="D175" s="940">
        <v>0</v>
      </c>
      <c r="E175" s="940">
        <v>0</v>
      </c>
      <c r="F175" s="940">
        <v>0</v>
      </c>
      <c r="G175" s="940">
        <v>0</v>
      </c>
      <c r="H175" s="447" t="s">
        <v>1185</v>
      </c>
    </row>
    <row r="176" spans="1:8" x14ac:dyDescent="0.25">
      <c r="A176" s="464">
        <f t="shared" si="8"/>
        <v>108</v>
      </c>
      <c r="C176" s="377"/>
      <c r="D176" s="940">
        <v>0</v>
      </c>
      <c r="E176" s="940">
        <v>0</v>
      </c>
      <c r="F176" s="940">
        <v>0</v>
      </c>
      <c r="G176" s="940">
        <v>0</v>
      </c>
      <c r="H176" s="447" t="s">
        <v>1185</v>
      </c>
    </row>
    <row r="177" spans="1:8" x14ac:dyDescent="0.25">
      <c r="A177" s="464">
        <f t="shared" si="8"/>
        <v>109</v>
      </c>
      <c r="C177" s="377"/>
      <c r="D177" s="940">
        <v>0</v>
      </c>
      <c r="E177" s="940">
        <v>0</v>
      </c>
      <c r="F177" s="940">
        <v>0</v>
      </c>
      <c r="G177" s="940">
        <v>0</v>
      </c>
      <c r="H177" s="447" t="s">
        <v>1185</v>
      </c>
    </row>
    <row r="178" spans="1:8" x14ac:dyDescent="0.25">
      <c r="A178" s="464">
        <f t="shared" si="8"/>
        <v>110</v>
      </c>
      <c r="C178" s="377"/>
      <c r="D178" s="940">
        <v>0</v>
      </c>
      <c r="E178" s="940">
        <v>0</v>
      </c>
      <c r="F178" s="940">
        <v>0</v>
      </c>
      <c r="G178" s="940">
        <v>0</v>
      </c>
      <c r="H178" s="447" t="s">
        <v>1185</v>
      </c>
    </row>
    <row r="179" spans="1:8" ht="15" x14ac:dyDescent="0.4">
      <c r="A179" s="464">
        <f t="shared" si="8"/>
        <v>111</v>
      </c>
      <c r="C179" s="377"/>
      <c r="D179" s="941">
        <v>0</v>
      </c>
      <c r="E179" s="941">
        <v>0</v>
      </c>
      <c r="F179" s="941">
        <v>0</v>
      </c>
      <c r="G179" s="941">
        <v>0</v>
      </c>
      <c r="H179" s="447" t="s">
        <v>1185</v>
      </c>
    </row>
    <row r="180" spans="1:8" x14ac:dyDescent="0.25">
      <c r="A180" s="464">
        <f t="shared" si="8"/>
        <v>112</v>
      </c>
      <c r="C180" s="83" t="s">
        <v>198</v>
      </c>
      <c r="D180" s="940">
        <v>0</v>
      </c>
      <c r="E180" s="940">
        <v>0</v>
      </c>
      <c r="F180" s="940">
        <v>0</v>
      </c>
      <c r="G180" s="940">
        <v>0</v>
      </c>
    </row>
    <row r="182" spans="1:8" x14ac:dyDescent="0.25">
      <c r="B182" s="1" t="s">
        <v>233</v>
      </c>
    </row>
    <row r="183" spans="1:8" x14ac:dyDescent="0.25">
      <c r="B183" s="43"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FF&amp;U Expenses are based on FF&amp;U Factors on 28-FFU."</f>
        <v>ROE Adder is from Lines 35 and 36.  FF&amp;U Expenses are based on FF&amp;U Factors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42" t="str">
        <f>"Column 3 is the product of (C1 + C2) and the sum of FF and U factors (28-FFU, L"&amp;'28-FFU'!A22&amp;")"</f>
        <v>Column 3 is the product of (C1 + C2) and the sum of FF and U factors (28-FFU, L5)</v>
      </c>
      <c r="C194" s="13"/>
      <c r="D194" s="13"/>
      <c r="E194" s="13"/>
      <c r="F194" s="13"/>
    </row>
    <row r="195" spans="2:6" x14ac:dyDescent="0.25">
      <c r="B195" s="443" t="s">
        <v>1485</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3"/>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1335</v>
      </c>
      <c r="B1" s="202"/>
      <c r="C1" s="202"/>
      <c r="D1" s="202"/>
      <c r="E1" s="202"/>
      <c r="F1" s="202"/>
      <c r="G1" s="202"/>
      <c r="H1" s="202"/>
      <c r="I1" s="202"/>
      <c r="J1" s="202"/>
      <c r="K1" s="202"/>
      <c r="L1" s="202"/>
    </row>
    <row r="2" spans="1:12" x14ac:dyDescent="0.25">
      <c r="A2" s="1"/>
      <c r="B2" s="202"/>
      <c r="C2" s="202"/>
      <c r="D2" s="202"/>
      <c r="E2" s="202"/>
      <c r="F2" s="202"/>
      <c r="G2" s="202"/>
      <c r="H2" s="419" t="s">
        <v>17</v>
      </c>
      <c r="I2" s="365"/>
      <c r="J2" s="202"/>
      <c r="K2" s="202"/>
      <c r="L2" s="202"/>
    </row>
    <row r="3" spans="1:12" x14ac:dyDescent="0.25">
      <c r="A3" s="1"/>
      <c r="B3" s="202" t="s">
        <v>1336</v>
      </c>
      <c r="C3" s="202"/>
      <c r="D3" s="202"/>
      <c r="E3" s="202"/>
      <c r="F3" s="202"/>
      <c r="G3" s="202"/>
      <c r="H3" s="208"/>
      <c r="I3" s="208"/>
      <c r="J3" s="202"/>
      <c r="K3" s="202"/>
      <c r="L3" s="202"/>
    </row>
    <row r="4" spans="1:12" x14ac:dyDescent="0.25">
      <c r="A4" s="1"/>
      <c r="B4" s="208" t="s">
        <v>1835</v>
      </c>
      <c r="C4" s="208"/>
      <c r="D4" s="208"/>
      <c r="E4" s="208"/>
      <c r="F4" s="208"/>
      <c r="G4" s="208"/>
      <c r="H4" s="208"/>
      <c r="I4" s="208"/>
      <c r="J4" s="202"/>
      <c r="K4" s="202"/>
      <c r="L4" s="202"/>
    </row>
    <row r="5" spans="1:12" ht="13.8" x14ac:dyDescent="0.3">
      <c r="A5" s="1"/>
      <c r="B5" s="208" t="s">
        <v>1745</v>
      </c>
      <c r="C5" s="208"/>
      <c r="D5" s="208"/>
      <c r="E5" s="208"/>
      <c r="F5" s="208"/>
      <c r="G5" s="208"/>
      <c r="H5" s="208"/>
      <c r="I5" s="208"/>
      <c r="J5" s="202"/>
      <c r="K5" s="202"/>
      <c r="L5" s="202"/>
    </row>
    <row r="6" spans="1:12" x14ac:dyDescent="0.25">
      <c r="A6" s="1"/>
      <c r="B6" s="208"/>
      <c r="C6" s="208"/>
      <c r="D6" s="208"/>
      <c r="E6" s="208"/>
      <c r="F6" s="208"/>
      <c r="G6" s="208"/>
      <c r="H6" s="208"/>
      <c r="I6" s="208"/>
      <c r="J6" s="202"/>
      <c r="K6" s="202"/>
      <c r="L6" s="202"/>
    </row>
    <row r="7" spans="1:12" x14ac:dyDescent="0.25">
      <c r="A7" s="1"/>
      <c r="B7" s="208" t="s">
        <v>1836</v>
      </c>
      <c r="C7" s="208"/>
      <c r="D7" s="208"/>
      <c r="E7" s="208"/>
      <c r="F7" s="208"/>
      <c r="G7" s="208"/>
      <c r="H7" s="208"/>
      <c r="I7" s="208"/>
      <c r="J7" s="202"/>
      <c r="K7" s="202"/>
      <c r="L7" s="202"/>
    </row>
    <row r="8" spans="1:12" x14ac:dyDescent="0.25">
      <c r="A8" s="1"/>
      <c r="B8" s="202" t="s">
        <v>1337</v>
      </c>
      <c r="C8" s="202"/>
      <c r="D8" s="202"/>
      <c r="E8" s="202"/>
      <c r="F8" s="202"/>
      <c r="G8" s="202"/>
      <c r="H8" s="208"/>
      <c r="I8" s="208"/>
      <c r="J8" s="202"/>
      <c r="K8" s="202"/>
      <c r="L8" s="202"/>
    </row>
    <row r="9" spans="1:12" x14ac:dyDescent="0.25">
      <c r="A9" s="1"/>
      <c r="B9" s="202" t="s">
        <v>1338</v>
      </c>
      <c r="C9" s="202"/>
      <c r="D9" s="202"/>
      <c r="E9" s="202"/>
      <c r="F9" s="202"/>
      <c r="G9" s="202"/>
      <c r="H9" s="208"/>
      <c r="I9" s="208"/>
      <c r="J9" s="202"/>
      <c r="K9" s="202"/>
      <c r="L9" s="202"/>
    </row>
    <row r="10" spans="1:12" x14ac:dyDescent="0.25">
      <c r="A10" s="1"/>
      <c r="B10" s="202"/>
      <c r="C10" s="202"/>
      <c r="D10" s="202"/>
      <c r="E10" s="202"/>
      <c r="F10" s="202"/>
      <c r="G10" s="202"/>
      <c r="H10" s="205" t="s">
        <v>1339</v>
      </c>
      <c r="I10" s="208"/>
      <c r="J10" s="202"/>
      <c r="K10" s="202"/>
      <c r="L10" s="202"/>
    </row>
    <row r="11" spans="1:12" ht="14.4" x14ac:dyDescent="0.3">
      <c r="A11" s="1"/>
      <c r="B11" s="202"/>
      <c r="C11" s="202"/>
      <c r="D11" s="202"/>
      <c r="E11" s="202"/>
      <c r="F11" s="202"/>
      <c r="G11" s="205" t="s">
        <v>174</v>
      </c>
      <c r="H11" s="210" t="s">
        <v>1340</v>
      </c>
      <c r="I11" s="420" t="s">
        <v>326</v>
      </c>
      <c r="J11" s="202"/>
      <c r="K11" s="202"/>
      <c r="L11" s="202"/>
    </row>
    <row r="12" spans="1:12" x14ac:dyDescent="0.25">
      <c r="A12" s="44" t="s">
        <v>332</v>
      </c>
      <c r="B12" s="202"/>
      <c r="C12" s="202"/>
      <c r="D12" s="202"/>
      <c r="E12" s="202"/>
      <c r="F12" s="202"/>
      <c r="G12" s="326" t="s">
        <v>290</v>
      </c>
      <c r="H12" s="326" t="s">
        <v>290</v>
      </c>
      <c r="I12" s="421" t="s">
        <v>1341</v>
      </c>
      <c r="J12" s="202"/>
      <c r="K12" s="202"/>
      <c r="L12" s="202"/>
    </row>
    <row r="13" spans="1:12" x14ac:dyDescent="0.25">
      <c r="A13" s="2">
        <v>1</v>
      </c>
      <c r="B13" s="202" t="s">
        <v>1342</v>
      </c>
      <c r="C13" s="202"/>
      <c r="D13" s="202"/>
      <c r="E13" s="202"/>
      <c r="F13" s="202"/>
      <c r="G13" s="215" t="s">
        <v>223</v>
      </c>
      <c r="H13" s="422" t="s">
        <v>223</v>
      </c>
      <c r="I13" s="54" t="s">
        <v>225</v>
      </c>
      <c r="J13" s="202"/>
      <c r="K13" s="202"/>
      <c r="L13" s="202"/>
    </row>
    <row r="14" spans="1:12" x14ac:dyDescent="0.25">
      <c r="A14" s="2">
        <f>A13+1</f>
        <v>2</v>
      </c>
      <c r="B14" s="202" t="s">
        <v>1343</v>
      </c>
      <c r="C14" s="202"/>
      <c r="D14" s="202"/>
      <c r="E14" s="202"/>
      <c r="F14" s="202"/>
      <c r="G14" s="215" t="s">
        <v>223</v>
      </c>
      <c r="H14" s="422" t="s">
        <v>223</v>
      </c>
      <c r="I14" s="422" t="s">
        <v>223</v>
      </c>
      <c r="J14" s="202"/>
      <c r="K14" s="202"/>
      <c r="L14" s="202"/>
    </row>
    <row r="15" spans="1:12" x14ac:dyDescent="0.25">
      <c r="A15" s="94">
        <f>A14+1</f>
        <v>3</v>
      </c>
      <c r="B15" s="208" t="s">
        <v>1517</v>
      </c>
      <c r="C15" s="202"/>
      <c r="D15" s="202"/>
      <c r="E15" s="202"/>
      <c r="F15" s="202"/>
      <c r="G15" s="215" t="s">
        <v>223</v>
      </c>
      <c r="H15" s="422" t="s">
        <v>223</v>
      </c>
      <c r="I15" s="422" t="s">
        <v>223</v>
      </c>
      <c r="J15" s="202"/>
      <c r="K15" s="202"/>
      <c r="L15" s="202"/>
    </row>
    <row r="16" spans="1:12" x14ac:dyDescent="0.25">
      <c r="A16" s="2">
        <f>A15+1</f>
        <v>4</v>
      </c>
      <c r="B16" s="202" t="s">
        <v>1344</v>
      </c>
      <c r="C16" s="202"/>
      <c r="D16" s="202"/>
      <c r="E16" s="202"/>
      <c r="F16" s="202"/>
      <c r="G16" s="215" t="s">
        <v>223</v>
      </c>
      <c r="H16" s="422" t="s">
        <v>223</v>
      </c>
      <c r="I16" s="422" t="s">
        <v>225</v>
      </c>
      <c r="J16" s="202"/>
      <c r="K16" s="202"/>
      <c r="L16" s="202"/>
    </row>
    <row r="17" spans="1:12" x14ac:dyDescent="0.25">
      <c r="A17" s="2">
        <f>A16+1</f>
        <v>5</v>
      </c>
      <c r="B17" s="202" t="s">
        <v>1345</v>
      </c>
      <c r="C17" s="202"/>
      <c r="D17" s="202"/>
      <c r="E17" s="202"/>
      <c r="F17" s="202"/>
      <c r="G17" s="215" t="s">
        <v>225</v>
      </c>
      <c r="H17" s="422" t="s">
        <v>223</v>
      </c>
      <c r="I17" s="422" t="s">
        <v>225</v>
      </c>
      <c r="J17" s="202"/>
      <c r="K17" s="202"/>
      <c r="L17" s="202"/>
    </row>
    <row r="18" spans="1:12" x14ac:dyDescent="0.25">
      <c r="A18" s="94">
        <f>A17+1</f>
        <v>6</v>
      </c>
      <c r="B18" s="208" t="s">
        <v>2361</v>
      </c>
      <c r="C18" s="208"/>
      <c r="D18" s="208"/>
      <c r="E18" s="208"/>
      <c r="F18" s="208"/>
      <c r="G18" s="422" t="s">
        <v>225</v>
      </c>
      <c r="H18" s="422" t="s">
        <v>223</v>
      </c>
      <c r="I18" s="422" t="s">
        <v>225</v>
      </c>
      <c r="J18" s="202"/>
      <c r="K18" s="202"/>
      <c r="L18" s="202"/>
    </row>
    <row r="19" spans="1:12" x14ac:dyDescent="0.25">
      <c r="A19" s="202"/>
      <c r="B19" s="202"/>
      <c r="C19" s="423"/>
      <c r="D19" s="208"/>
      <c r="E19" s="208"/>
      <c r="F19" s="208"/>
      <c r="G19" s="202"/>
      <c r="H19" s="202"/>
      <c r="I19" s="202"/>
      <c r="J19" s="202"/>
      <c r="K19" s="202"/>
      <c r="L19" s="202"/>
    </row>
    <row r="20" spans="1:12" x14ac:dyDescent="0.25">
      <c r="A20" s="202"/>
      <c r="B20" s="364" t="s">
        <v>1346</v>
      </c>
      <c r="C20" s="333"/>
      <c r="D20" s="208"/>
      <c r="E20" s="208"/>
      <c r="F20" s="208"/>
      <c r="G20" s="202"/>
      <c r="H20" s="202"/>
      <c r="I20" s="202"/>
      <c r="J20" s="202"/>
      <c r="K20" s="202"/>
      <c r="L20" s="202"/>
    </row>
    <row r="21" spans="1:12" x14ac:dyDescent="0.25">
      <c r="A21" s="202"/>
      <c r="B21" s="364"/>
      <c r="C21" s="333"/>
      <c r="D21" s="208"/>
      <c r="E21" s="208"/>
      <c r="F21" s="208"/>
      <c r="G21" s="202"/>
      <c r="H21" s="202"/>
      <c r="I21" s="202"/>
      <c r="J21" s="202"/>
      <c r="K21" s="202"/>
      <c r="L21" s="202"/>
    </row>
    <row r="22" spans="1:12" x14ac:dyDescent="0.25">
      <c r="A22" s="202"/>
      <c r="B22" s="424" t="s">
        <v>1347</v>
      </c>
      <c r="C22" s="335"/>
      <c r="D22" s="208"/>
      <c r="E22" s="208"/>
      <c r="F22" s="208"/>
      <c r="G22" s="202"/>
      <c r="H22" s="202"/>
      <c r="I22" s="202"/>
      <c r="J22" s="202"/>
      <c r="K22" s="202"/>
      <c r="L22" s="202"/>
    </row>
    <row r="23" spans="1:12" x14ac:dyDescent="0.25">
      <c r="A23" s="202"/>
      <c r="B23" s="213" t="s">
        <v>2371</v>
      </c>
      <c r="C23" s="335"/>
      <c r="D23" s="208"/>
      <c r="E23" s="208"/>
      <c r="F23" s="208"/>
      <c r="G23" s="202"/>
      <c r="H23" s="202"/>
      <c r="I23" s="202"/>
      <c r="J23" s="202"/>
      <c r="K23" s="202"/>
      <c r="L23" s="202"/>
    </row>
    <row r="24" spans="1:12" x14ac:dyDescent="0.25">
      <c r="A24" s="202"/>
      <c r="B24" s="213" t="s">
        <v>1348</v>
      </c>
      <c r="C24" s="202"/>
      <c r="D24" s="202"/>
      <c r="E24" s="202"/>
      <c r="F24" s="202"/>
      <c r="G24" s="202"/>
      <c r="H24" s="202"/>
      <c r="I24" s="202"/>
      <c r="J24" s="202"/>
      <c r="K24" s="202"/>
      <c r="L24" s="202"/>
    </row>
    <row r="25" spans="1:12" x14ac:dyDescent="0.25">
      <c r="A25" s="202"/>
      <c r="B25" s="202"/>
      <c r="C25" s="202"/>
      <c r="D25" s="202"/>
      <c r="E25" s="202"/>
      <c r="F25" s="202"/>
      <c r="G25" s="202"/>
      <c r="H25" s="76" t="s">
        <v>363</v>
      </c>
      <c r="I25" s="76" t="s">
        <v>347</v>
      </c>
      <c r="J25" s="202"/>
      <c r="K25" s="202"/>
      <c r="L25" s="202"/>
    </row>
    <row r="26" spans="1:12" x14ac:dyDescent="0.25">
      <c r="A26" s="202"/>
      <c r="B26" s="202"/>
      <c r="C26" s="202"/>
      <c r="D26" s="202"/>
      <c r="E26" s="202"/>
      <c r="F26" s="202"/>
      <c r="G26" s="202"/>
      <c r="H26" s="425" t="s">
        <v>1349</v>
      </c>
      <c r="I26" s="202"/>
      <c r="J26" s="202"/>
      <c r="K26" s="202"/>
      <c r="L26" s="202"/>
    </row>
    <row r="27" spans="1:12" x14ac:dyDescent="0.25">
      <c r="A27" s="202"/>
      <c r="B27" s="202"/>
      <c r="C27" s="202"/>
      <c r="D27" s="202"/>
      <c r="E27" s="202"/>
      <c r="F27" s="202"/>
      <c r="G27" s="202"/>
      <c r="H27" s="425" t="s">
        <v>290</v>
      </c>
      <c r="I27" s="205" t="s">
        <v>1350</v>
      </c>
      <c r="J27" s="202"/>
      <c r="K27" s="202"/>
      <c r="L27" s="202"/>
    </row>
    <row r="28" spans="1:12" x14ac:dyDescent="0.25">
      <c r="A28" s="202"/>
      <c r="B28" s="202"/>
      <c r="C28" s="202"/>
      <c r="D28" s="202"/>
      <c r="E28" s="202"/>
      <c r="F28" s="202"/>
      <c r="G28" s="23" t="s">
        <v>195</v>
      </c>
      <c r="H28" s="205" t="s">
        <v>1351</v>
      </c>
      <c r="I28" s="205" t="s">
        <v>1352</v>
      </c>
      <c r="J28" s="202"/>
      <c r="K28" s="202"/>
      <c r="L28" s="202"/>
    </row>
    <row r="29" spans="1:12" ht="14.4" x14ac:dyDescent="0.3">
      <c r="A29" s="44"/>
      <c r="B29" s="202"/>
      <c r="C29" s="202"/>
      <c r="D29" s="202"/>
      <c r="E29" s="202"/>
      <c r="F29" s="202"/>
      <c r="G29" s="22" t="s">
        <v>180</v>
      </c>
      <c r="H29" s="426" t="s">
        <v>1353</v>
      </c>
      <c r="I29" s="211" t="s">
        <v>1340</v>
      </c>
      <c r="J29" s="326"/>
      <c r="K29" s="202"/>
      <c r="L29" s="202"/>
    </row>
    <row r="30" spans="1:12" x14ac:dyDescent="0.25">
      <c r="A30" s="94">
        <f>A18+1</f>
        <v>7</v>
      </c>
      <c r="B30" s="208"/>
      <c r="C30" s="202" t="s">
        <v>1354</v>
      </c>
      <c r="D30" s="202"/>
      <c r="E30" s="202"/>
      <c r="F30" s="202"/>
      <c r="G30" s="12" t="s">
        <v>1355</v>
      </c>
      <c r="H30" s="206">
        <v>31556000</v>
      </c>
      <c r="I30" s="204">
        <v>-2176300</v>
      </c>
      <c r="J30" s="202"/>
      <c r="K30" s="202"/>
      <c r="L30" s="202"/>
    </row>
    <row r="31" spans="1:12" x14ac:dyDescent="0.25">
      <c r="A31" s="94">
        <f>A30+1</f>
        <v>8</v>
      </c>
      <c r="B31" s="208"/>
      <c r="C31" s="202" t="s">
        <v>1356</v>
      </c>
      <c r="D31" s="202"/>
      <c r="E31" s="202"/>
      <c r="F31" s="202"/>
      <c r="G31" s="12" t="s">
        <v>1355</v>
      </c>
      <c r="H31" s="204">
        <v>-35044000</v>
      </c>
      <c r="I31" s="204">
        <v>2503000</v>
      </c>
      <c r="J31" s="202"/>
      <c r="K31" s="202"/>
      <c r="L31" s="202"/>
    </row>
    <row r="32" spans="1:12" x14ac:dyDescent="0.25">
      <c r="A32" s="94">
        <f>A31+1</f>
        <v>9</v>
      </c>
      <c r="B32" s="208"/>
      <c r="C32" s="208" t="s">
        <v>1518</v>
      </c>
      <c r="D32" s="208"/>
      <c r="E32" s="208"/>
      <c r="F32" s="208"/>
      <c r="G32" s="40" t="s">
        <v>1355</v>
      </c>
      <c r="H32" s="206">
        <v>-624650</v>
      </c>
      <c r="I32" s="206">
        <v>43100</v>
      </c>
      <c r="J32" s="202"/>
      <c r="K32" s="202"/>
      <c r="L32" s="202"/>
    </row>
    <row r="33" spans="1:12" x14ac:dyDescent="0.25">
      <c r="A33" s="94">
        <f>A32+1</f>
        <v>10</v>
      </c>
      <c r="B33" s="208"/>
      <c r="C33" s="202" t="s">
        <v>1357</v>
      </c>
      <c r="D33" s="202"/>
      <c r="E33" s="202"/>
      <c r="F33" s="202"/>
      <c r="G33" s="12" t="s">
        <v>1355</v>
      </c>
      <c r="H33" s="325">
        <v>-7410000</v>
      </c>
      <c r="I33" s="427">
        <v>511200</v>
      </c>
      <c r="J33" s="202"/>
      <c r="K33" s="202"/>
      <c r="L33" s="202"/>
    </row>
    <row r="34" spans="1:12" x14ac:dyDescent="0.25">
      <c r="A34" s="94">
        <f>A33+1</f>
        <v>11</v>
      </c>
      <c r="B34" s="208"/>
      <c r="C34" s="202"/>
      <c r="D34" s="202"/>
      <c r="E34" s="202"/>
      <c r="G34" s="203" t="s">
        <v>198</v>
      </c>
      <c r="H34" s="204">
        <f>SUM(H30:H33)</f>
        <v>-11522650</v>
      </c>
      <c r="I34" s="204">
        <f>SUM(I30:I33)</f>
        <v>881000</v>
      </c>
      <c r="J34" s="202"/>
      <c r="K34" s="202"/>
      <c r="L34" s="202"/>
    </row>
    <row r="35" spans="1:12" x14ac:dyDescent="0.25">
      <c r="A35" s="2"/>
      <c r="B35" s="202"/>
      <c r="C35" s="202"/>
      <c r="D35" s="202"/>
      <c r="E35" s="202"/>
      <c r="G35" s="203"/>
      <c r="H35" s="204"/>
      <c r="I35" s="204"/>
      <c r="J35" s="202"/>
      <c r="K35" s="202"/>
      <c r="L35" s="202"/>
    </row>
    <row r="36" spans="1:12" x14ac:dyDescent="0.25">
      <c r="A36" s="2"/>
      <c r="B36" s="424" t="s">
        <v>1358</v>
      </c>
      <c r="C36" s="202"/>
      <c r="D36" s="202"/>
      <c r="E36" s="202"/>
      <c r="G36" s="203"/>
      <c r="H36" s="204"/>
      <c r="I36" s="204"/>
      <c r="J36" s="202"/>
      <c r="K36" s="202"/>
      <c r="L36" s="202"/>
    </row>
    <row r="37" spans="1:12" x14ac:dyDescent="0.25">
      <c r="A37" s="2"/>
      <c r="B37" s="213" t="s">
        <v>1636</v>
      </c>
      <c r="C37" s="202"/>
      <c r="D37" s="202"/>
      <c r="E37" s="202"/>
      <c r="G37" s="203"/>
      <c r="H37" s="204"/>
      <c r="I37" s="204"/>
      <c r="J37" s="202"/>
      <c r="K37" s="202"/>
      <c r="L37" s="202"/>
    </row>
    <row r="38" spans="1:12" x14ac:dyDescent="0.25">
      <c r="A38" s="2"/>
      <c r="B38" s="213" t="s">
        <v>1359</v>
      </c>
      <c r="C38" s="202"/>
      <c r="D38" s="202"/>
      <c r="E38" s="202"/>
      <c r="G38" s="203"/>
      <c r="H38" s="204"/>
      <c r="I38" s="204"/>
      <c r="J38" s="202"/>
      <c r="K38" s="202"/>
      <c r="L38" s="202"/>
    </row>
    <row r="39" spans="1:12" x14ac:dyDescent="0.25">
      <c r="A39" s="205"/>
      <c r="B39" s="202"/>
      <c r="C39" s="202"/>
      <c r="D39" s="202"/>
      <c r="E39" s="202"/>
      <c r="F39" s="202"/>
      <c r="G39" s="23" t="s">
        <v>195</v>
      </c>
      <c r="H39" s="202"/>
      <c r="I39" s="202"/>
      <c r="J39" s="202"/>
      <c r="K39" s="202"/>
      <c r="L39" s="202"/>
    </row>
    <row r="40" spans="1:12" x14ac:dyDescent="0.25">
      <c r="A40" s="205"/>
      <c r="B40" s="428"/>
      <c r="C40" s="333"/>
      <c r="D40" s="208"/>
      <c r="E40" s="208"/>
      <c r="F40" s="208"/>
      <c r="G40" s="22" t="s">
        <v>180</v>
      </c>
      <c r="H40" s="3" t="s">
        <v>172</v>
      </c>
      <c r="I40" s="429" t="s">
        <v>1360</v>
      </c>
      <c r="J40" s="202"/>
      <c r="K40" s="202"/>
      <c r="L40" s="202"/>
    </row>
    <row r="41" spans="1:12" x14ac:dyDescent="0.25">
      <c r="A41" s="94">
        <f>A34+1</f>
        <v>12</v>
      </c>
      <c r="B41" s="213" t="s">
        <v>1361</v>
      </c>
      <c r="C41" s="202"/>
      <c r="D41" s="202"/>
      <c r="E41" s="208"/>
      <c r="F41" s="202"/>
      <c r="G41" s="430" t="str">
        <f>"2-IFPTRR Line "&amp;'2-IFPTRR'!A25&amp;""</f>
        <v>2-IFPTRR Line 16</v>
      </c>
      <c r="H41" s="926" t="s">
        <v>2193</v>
      </c>
      <c r="I41" s="215">
        <v>1</v>
      </c>
      <c r="J41" s="202"/>
      <c r="K41" s="202"/>
      <c r="L41" s="202"/>
    </row>
    <row r="42" spans="1:12" x14ac:dyDescent="0.25">
      <c r="A42" s="94">
        <f>A41+1</f>
        <v>13</v>
      </c>
      <c r="B42" s="213" t="s">
        <v>64</v>
      </c>
      <c r="C42" s="202"/>
      <c r="D42" s="202"/>
      <c r="E42" s="208"/>
      <c r="F42" s="202"/>
      <c r="G42" s="213"/>
      <c r="H42" s="513" t="s">
        <v>1388</v>
      </c>
      <c r="I42" s="215">
        <v>2</v>
      </c>
      <c r="J42" s="202"/>
      <c r="K42" s="202"/>
      <c r="L42" s="202"/>
    </row>
    <row r="43" spans="1:12" x14ac:dyDescent="0.25">
      <c r="A43" s="94">
        <f>A42+1</f>
        <v>14</v>
      </c>
      <c r="B43" s="213" t="s">
        <v>1362</v>
      </c>
      <c r="C43" s="202"/>
      <c r="D43" s="202"/>
      <c r="E43" s="202"/>
      <c r="F43" s="202"/>
      <c r="G43" s="204"/>
      <c r="H43" s="940">
        <v>0</v>
      </c>
      <c r="I43" s="215">
        <v>3</v>
      </c>
      <c r="J43" s="202"/>
      <c r="K43" s="202"/>
      <c r="L43" s="202"/>
    </row>
    <row r="44" spans="1:12" x14ac:dyDescent="0.25">
      <c r="A44" s="94">
        <f>A43+1</f>
        <v>15</v>
      </c>
      <c r="B44" s="213" t="s">
        <v>1363</v>
      </c>
      <c r="C44" s="333"/>
      <c r="D44" s="208"/>
      <c r="E44" s="208"/>
      <c r="F44" s="208"/>
      <c r="G44" s="12" t="str">
        <f>"Line "&amp;A43&amp;" * Line "&amp;A41&amp;""</f>
        <v>Line 14 * Line 12</v>
      </c>
      <c r="H44" s="940">
        <v>0</v>
      </c>
      <c r="I44" s="202"/>
      <c r="J44" s="202"/>
      <c r="K44" s="202"/>
      <c r="L44" s="202"/>
    </row>
    <row r="45" spans="1:12" x14ac:dyDescent="0.25">
      <c r="A45" s="13"/>
      <c r="L45" s="202"/>
    </row>
    <row r="46" spans="1:12" x14ac:dyDescent="0.25">
      <c r="A46" s="13"/>
      <c r="B46" s="364" t="s">
        <v>1523</v>
      </c>
      <c r="L46" s="202"/>
    </row>
    <row r="47" spans="1:12" x14ac:dyDescent="0.25">
      <c r="A47" s="13"/>
      <c r="L47" s="202"/>
    </row>
    <row r="48" spans="1:12" x14ac:dyDescent="0.25">
      <c r="A48" s="13"/>
      <c r="B48" s="202" t="str">
        <f>"The annual Wholesale Expense Difference impact is the negative of amounts stated in Lines "&amp;A30&amp;" to "&amp;A33&amp;" above, Column 2."</f>
        <v>The annual Wholesale Expense Difference impact is the negative of amounts stated in Lines 7 to 10 above, Column 2.</v>
      </c>
      <c r="L48" s="202"/>
    </row>
    <row r="49" spans="1:12" x14ac:dyDescent="0.25">
      <c r="A49" s="13"/>
      <c r="B49" s="202" t="s">
        <v>1390</v>
      </c>
      <c r="L49" s="202"/>
    </row>
    <row r="50" spans="1:12" x14ac:dyDescent="0.25">
      <c r="A50" s="208"/>
      <c r="B50" s="202" t="s">
        <v>1637</v>
      </c>
      <c r="C50" s="202"/>
      <c r="D50" s="202"/>
      <c r="E50" s="202"/>
      <c r="F50" s="202"/>
      <c r="G50" s="202"/>
      <c r="H50" s="202"/>
      <c r="I50" s="202"/>
      <c r="J50" s="202"/>
      <c r="K50" s="202"/>
      <c r="L50" s="202"/>
    </row>
    <row r="51" spans="1:12" x14ac:dyDescent="0.25">
      <c r="A51" s="13"/>
    </row>
    <row r="52" spans="1:12" x14ac:dyDescent="0.25">
      <c r="A52" s="208"/>
      <c r="B52" s="63" t="s">
        <v>1364</v>
      </c>
      <c r="C52" s="202"/>
      <c r="D52" s="202"/>
      <c r="E52" s="202"/>
      <c r="F52" s="202"/>
      <c r="G52" s="202"/>
      <c r="H52" s="202"/>
      <c r="I52" s="202"/>
      <c r="J52" s="202"/>
      <c r="K52" s="202"/>
      <c r="L52" s="202"/>
    </row>
    <row r="53" spans="1:12" x14ac:dyDescent="0.25">
      <c r="A53" s="208"/>
      <c r="B53" s="202"/>
      <c r="C53" s="202"/>
      <c r="D53" s="202"/>
      <c r="E53" s="202"/>
      <c r="F53" s="202"/>
      <c r="G53" s="23"/>
      <c r="H53" s="202"/>
      <c r="I53" s="202"/>
      <c r="J53" s="202"/>
      <c r="K53" s="202"/>
      <c r="L53" s="202"/>
    </row>
    <row r="54" spans="1:12" x14ac:dyDescent="0.25">
      <c r="A54" s="13"/>
      <c r="B54" s="202"/>
      <c r="C54" s="202"/>
      <c r="D54" s="202"/>
      <c r="E54" s="202"/>
      <c r="F54" s="202"/>
      <c r="G54" s="22" t="s">
        <v>180</v>
      </c>
      <c r="H54" s="3" t="s">
        <v>172</v>
      </c>
      <c r="I54" s="202"/>
      <c r="J54" s="326"/>
      <c r="K54" s="202"/>
      <c r="L54" s="202"/>
    </row>
    <row r="55" spans="1:12" x14ac:dyDescent="0.25">
      <c r="A55" s="94">
        <f>A44+1</f>
        <v>16</v>
      </c>
      <c r="B55" s="213" t="s">
        <v>1365</v>
      </c>
      <c r="C55" s="202"/>
      <c r="D55" s="202"/>
      <c r="E55" s="202"/>
      <c r="F55" s="202"/>
      <c r="G55" s="12" t="str">
        <f>"Line "&amp;A31&amp;""</f>
        <v>Line 8</v>
      </c>
      <c r="H55" s="940">
        <v>0</v>
      </c>
      <c r="I55" s="202"/>
      <c r="J55" s="202"/>
      <c r="K55" s="202"/>
      <c r="L55" s="202"/>
    </row>
    <row r="56" spans="1:12" x14ac:dyDescent="0.25">
      <c r="A56" s="94">
        <f>A55+1</f>
        <v>17</v>
      </c>
      <c r="B56" s="12" t="s">
        <v>292</v>
      </c>
      <c r="C56" s="202"/>
      <c r="D56" s="202"/>
      <c r="E56" s="202"/>
      <c r="F56" s="202"/>
      <c r="G56" s="430" t="str">
        <f>"1-BaseTRR L "&amp;'1-BaseTRR'!A102&amp;""</f>
        <v>1-BaseTRR L 59</v>
      </c>
      <c r="H56" s="926" t="s">
        <v>2193</v>
      </c>
      <c r="I56" s="202"/>
      <c r="J56" s="202"/>
      <c r="K56" s="202"/>
      <c r="L56" s="202"/>
    </row>
    <row r="57" spans="1:12" x14ac:dyDescent="0.25">
      <c r="A57" s="94">
        <f>A56+1</f>
        <v>18</v>
      </c>
      <c r="B57" s="12" t="s">
        <v>1389</v>
      </c>
      <c r="C57" s="202"/>
      <c r="D57" s="202"/>
      <c r="E57" s="202"/>
      <c r="F57" s="202"/>
      <c r="G57" s="62" t="s">
        <v>291</v>
      </c>
      <c r="H57" s="926" t="s">
        <v>77</v>
      </c>
      <c r="I57" s="202"/>
      <c r="J57" s="202"/>
      <c r="K57" s="202"/>
      <c r="L57" s="202"/>
    </row>
    <row r="58" spans="1:12" x14ac:dyDescent="0.25">
      <c r="A58" s="94">
        <f>A57+1</f>
        <v>19</v>
      </c>
      <c r="B58" s="12" t="s">
        <v>334</v>
      </c>
      <c r="C58" s="202"/>
      <c r="D58" s="202"/>
      <c r="E58" s="202"/>
      <c r="F58" s="202"/>
      <c r="G58" s="208"/>
      <c r="H58" s="202"/>
      <c r="I58" s="202"/>
      <c r="J58" s="202"/>
      <c r="K58" s="202"/>
      <c r="L58" s="202"/>
    </row>
    <row r="59" spans="1:12" x14ac:dyDescent="0.25">
      <c r="A59" s="94">
        <f>A58+1</f>
        <v>20</v>
      </c>
      <c r="B59" s="12" t="s">
        <v>333</v>
      </c>
      <c r="C59" s="202"/>
      <c r="D59" s="202"/>
      <c r="E59" s="202"/>
      <c r="F59" s="202"/>
      <c r="G59" s="40" t="str">
        <f>"- Line "&amp;A55&amp;" * Line "&amp;A57&amp;""</f>
        <v>- Line 16 * Line 18</v>
      </c>
      <c r="H59" s="940">
        <v>0</v>
      </c>
      <c r="I59" s="202"/>
      <c r="J59" s="202"/>
      <c r="K59" s="202"/>
      <c r="L59" s="202"/>
    </row>
    <row r="60" spans="1:12" x14ac:dyDescent="0.25">
      <c r="G60" s="13"/>
    </row>
    <row r="61" spans="1:12" x14ac:dyDescent="0.25">
      <c r="B61" s="63" t="s">
        <v>1520</v>
      </c>
      <c r="G61" s="13"/>
    </row>
    <row r="62" spans="1:12" x14ac:dyDescent="0.25">
      <c r="G62" s="13"/>
    </row>
    <row r="63" spans="1:12" x14ac:dyDescent="0.25">
      <c r="G63" s="24" t="s">
        <v>180</v>
      </c>
      <c r="H63" s="3" t="s">
        <v>172</v>
      </c>
    </row>
    <row r="64" spans="1:12" x14ac:dyDescent="0.25">
      <c r="A64" s="94">
        <f>A59+1</f>
        <v>21</v>
      </c>
      <c r="B64" s="430" t="s">
        <v>1519</v>
      </c>
      <c r="G64" s="40" t="str">
        <f>"Line "&amp;A32&amp;""</f>
        <v>Line 9</v>
      </c>
      <c r="H64" s="940">
        <v>0</v>
      </c>
    </row>
    <row r="65" spans="1:12" x14ac:dyDescent="0.25">
      <c r="A65" s="94">
        <f>A64+1</f>
        <v>22</v>
      </c>
      <c r="B65" s="12" t="s">
        <v>1389</v>
      </c>
      <c r="C65" s="202"/>
      <c r="D65" s="202"/>
      <c r="E65" s="202"/>
      <c r="F65" s="202"/>
      <c r="G65" s="40" t="str">
        <f>"Line "&amp;A57&amp;""</f>
        <v>Line 18</v>
      </c>
      <c r="H65" s="926" t="s">
        <v>77</v>
      </c>
    </row>
    <row r="66" spans="1:12" x14ac:dyDescent="0.25">
      <c r="A66" s="94">
        <f>A65+1</f>
        <v>23</v>
      </c>
      <c r="B66" s="213" t="s">
        <v>1521</v>
      </c>
      <c r="G66" s="40" t="str">
        <f>"- Line "&amp;A64&amp;" * Line "&amp;A65&amp;""</f>
        <v>- Line 21 * Line 22</v>
      </c>
      <c r="H66" s="940">
        <v>0</v>
      </c>
    </row>
    <row r="67" spans="1:12" x14ac:dyDescent="0.25">
      <c r="A67" s="94">
        <f t="shared" ref="A67:A74" si="0">A66+1</f>
        <v>24</v>
      </c>
      <c r="B67" s="213"/>
      <c r="G67" s="40"/>
      <c r="H67" s="6"/>
    </row>
    <row r="68" spans="1:12" x14ac:dyDescent="0.25">
      <c r="A68" s="94">
        <f t="shared" si="0"/>
        <v>25</v>
      </c>
      <c r="B68" s="860" t="s">
        <v>2362</v>
      </c>
      <c r="C68" s="13"/>
      <c r="D68" s="13"/>
      <c r="E68" s="13"/>
      <c r="F68" s="13"/>
      <c r="G68" s="40"/>
      <c r="H68" s="6"/>
    </row>
    <row r="69" spans="1:12" x14ac:dyDescent="0.25">
      <c r="A69" s="94">
        <f t="shared" si="0"/>
        <v>26</v>
      </c>
      <c r="B69" s="430"/>
      <c r="C69" s="13"/>
      <c r="D69" s="13"/>
      <c r="E69" s="13"/>
      <c r="F69" s="13"/>
      <c r="G69" s="24" t="s">
        <v>180</v>
      </c>
      <c r="H69" s="6"/>
      <c r="I69" s="46" t="s">
        <v>1360</v>
      </c>
    </row>
    <row r="70" spans="1:12" x14ac:dyDescent="0.25">
      <c r="A70" s="94">
        <f t="shared" si="0"/>
        <v>27</v>
      </c>
      <c r="B70" s="430" t="s">
        <v>2363</v>
      </c>
      <c r="C70" s="13"/>
      <c r="D70" s="13"/>
      <c r="E70" s="13"/>
      <c r="F70" s="13"/>
      <c r="G70" s="442" t="s">
        <v>33</v>
      </c>
      <c r="H70" s="932">
        <v>0</v>
      </c>
      <c r="I70" s="447" t="s">
        <v>1184</v>
      </c>
    </row>
    <row r="71" spans="1:12" ht="15" x14ac:dyDescent="0.4">
      <c r="A71" s="94">
        <f t="shared" si="0"/>
        <v>28</v>
      </c>
      <c r="B71" s="430" t="s">
        <v>2364</v>
      </c>
      <c r="C71" s="13"/>
      <c r="D71" s="13"/>
      <c r="E71" s="13"/>
      <c r="F71" s="13"/>
      <c r="G71" s="442" t="s">
        <v>33</v>
      </c>
      <c r="H71" s="933">
        <v>0</v>
      </c>
      <c r="I71" s="447" t="s">
        <v>1184</v>
      </c>
    </row>
    <row r="72" spans="1:12" x14ac:dyDescent="0.25">
      <c r="A72" s="94">
        <f t="shared" si="0"/>
        <v>29</v>
      </c>
      <c r="B72" s="430" t="s">
        <v>2365</v>
      </c>
      <c r="C72" s="13"/>
      <c r="D72" s="13"/>
      <c r="E72" s="13"/>
      <c r="F72" s="13"/>
      <c r="G72" s="861" t="str">
        <f>"Line "&amp;A70&amp;" + "&amp;A71&amp;""</f>
        <v>Line 27 + 28</v>
      </c>
      <c r="H72" s="940">
        <v>0</v>
      </c>
    </row>
    <row r="73" spans="1:12" x14ac:dyDescent="0.25">
      <c r="A73" s="94">
        <f t="shared" si="0"/>
        <v>30</v>
      </c>
      <c r="B73" s="430" t="s">
        <v>94</v>
      </c>
      <c r="C73" s="13"/>
      <c r="D73" s="13"/>
      <c r="E73" s="13"/>
      <c r="F73" s="13"/>
      <c r="G73" s="430" t="str">
        <f>"27-Allocators, Line "&amp;'27-Allocators'!A15&amp;""</f>
        <v>27-Allocators, Line 9</v>
      </c>
      <c r="H73" s="927" t="s">
        <v>2193</v>
      </c>
    </row>
    <row r="74" spans="1:12" x14ac:dyDescent="0.25">
      <c r="A74" s="94">
        <f t="shared" si="0"/>
        <v>31</v>
      </c>
      <c r="B74" s="430" t="s">
        <v>2366</v>
      </c>
      <c r="C74" s="13"/>
      <c r="D74" s="13"/>
      <c r="E74" s="13"/>
      <c r="F74" s="13"/>
      <c r="G74" s="861" t="str">
        <f>"Line "&amp;A72&amp;" * "&amp;A73&amp;""</f>
        <v>Line 29 * 30</v>
      </c>
      <c r="H74" s="940">
        <v>0</v>
      </c>
    </row>
    <row r="75" spans="1:12" x14ac:dyDescent="0.25">
      <c r="A75" s="13"/>
      <c r="B75" s="13"/>
      <c r="C75" s="13"/>
      <c r="D75" s="13"/>
      <c r="E75" s="13"/>
      <c r="F75" s="13"/>
      <c r="G75" s="13"/>
      <c r="H75" s="13"/>
    </row>
    <row r="76" spans="1:12" x14ac:dyDescent="0.25">
      <c r="A76" s="208"/>
      <c r="B76" s="862" t="s">
        <v>1837</v>
      </c>
      <c r="C76" s="208"/>
      <c r="D76" s="208"/>
      <c r="E76" s="208"/>
      <c r="F76" s="208"/>
      <c r="G76" s="208"/>
      <c r="H76" s="208"/>
      <c r="I76" s="429" t="s">
        <v>1360</v>
      </c>
      <c r="J76" s="202"/>
      <c r="K76" s="202"/>
      <c r="L76" s="202"/>
    </row>
    <row r="77" spans="1:12" x14ac:dyDescent="0.25">
      <c r="A77" s="94">
        <f>A74+1</f>
        <v>32</v>
      </c>
      <c r="B77" s="423" t="s">
        <v>1540</v>
      </c>
      <c r="C77" s="208"/>
      <c r="D77" s="208"/>
      <c r="E77" s="208"/>
      <c r="F77" s="208"/>
      <c r="G77" s="430" t="str">
        <f>" - Line "&amp;A30&amp;", Col. 2"</f>
        <v xml:space="preserve"> - Line 7, Col. 2</v>
      </c>
      <c r="H77" s="940">
        <v>0</v>
      </c>
      <c r="I77" s="202"/>
      <c r="J77" s="202"/>
      <c r="K77" s="202"/>
      <c r="L77" s="202"/>
    </row>
    <row r="78" spans="1:12" x14ac:dyDescent="0.25">
      <c r="A78" s="94">
        <f>A77+1</f>
        <v>33</v>
      </c>
      <c r="B78" s="423" t="s">
        <v>1356</v>
      </c>
      <c r="C78" s="208"/>
      <c r="D78" s="208"/>
      <c r="E78" s="208"/>
      <c r="F78" s="208"/>
      <c r="G78" s="430" t="str">
        <f>"Line "&amp;A59&amp;""</f>
        <v>Line 20</v>
      </c>
      <c r="H78" s="940">
        <v>0</v>
      </c>
      <c r="I78" s="202"/>
      <c r="J78" s="202"/>
      <c r="K78" s="202"/>
      <c r="L78" s="202"/>
    </row>
    <row r="79" spans="1:12" x14ac:dyDescent="0.25">
      <c r="A79" s="94">
        <f>A78+1</f>
        <v>34</v>
      </c>
      <c r="B79" s="423" t="s">
        <v>1518</v>
      </c>
      <c r="C79" s="208"/>
      <c r="D79" s="208"/>
      <c r="E79" s="208"/>
      <c r="F79" s="208"/>
      <c r="G79" s="430" t="str">
        <f>"Line "&amp;A66&amp;""</f>
        <v>Line 23</v>
      </c>
      <c r="H79" s="940">
        <v>0</v>
      </c>
      <c r="I79" s="202"/>
      <c r="J79" s="202"/>
      <c r="K79" s="202"/>
      <c r="L79" s="202"/>
    </row>
    <row r="80" spans="1:12" x14ac:dyDescent="0.25">
      <c r="A80" s="94">
        <f>A79+1</f>
        <v>35</v>
      </c>
      <c r="B80" s="423" t="s">
        <v>1357</v>
      </c>
      <c r="C80" s="208"/>
      <c r="D80" s="208"/>
      <c r="E80" s="208"/>
      <c r="F80" s="208"/>
      <c r="G80" s="430" t="str">
        <f>"- Line "&amp;A33&amp;", Col. 2"</f>
        <v>- Line 10, Col. 2</v>
      </c>
      <c r="H80" s="940">
        <v>0</v>
      </c>
      <c r="I80" s="202"/>
      <c r="J80" s="202"/>
      <c r="K80" s="202"/>
      <c r="L80" s="202"/>
    </row>
    <row r="81" spans="1:12" x14ac:dyDescent="0.25">
      <c r="A81" s="94">
        <f t="shared" ref="A81" si="1">A80+1</f>
        <v>36</v>
      </c>
      <c r="B81" s="423" t="s">
        <v>2367</v>
      </c>
      <c r="C81" s="208"/>
      <c r="D81" s="208"/>
      <c r="E81" s="208"/>
      <c r="F81" s="208"/>
      <c r="G81" s="861" t="str">
        <f>" - Line "&amp;A74&amp;""</f>
        <v xml:space="preserve"> - Line 31</v>
      </c>
      <c r="H81" s="940">
        <v>0</v>
      </c>
      <c r="I81" s="202"/>
      <c r="J81" s="202"/>
      <c r="K81" s="202"/>
      <c r="L81" s="202"/>
    </row>
    <row r="82" spans="1:12" ht="15" x14ac:dyDescent="0.4">
      <c r="A82" s="94">
        <f>A81+1</f>
        <v>37</v>
      </c>
      <c r="B82" s="880" t="s">
        <v>2368</v>
      </c>
      <c r="C82" s="208"/>
      <c r="D82" s="208"/>
      <c r="E82" s="208"/>
      <c r="F82" s="208"/>
      <c r="G82" s="861"/>
      <c r="H82" s="1063">
        <v>0</v>
      </c>
      <c r="I82" s="213" t="s">
        <v>1185</v>
      </c>
      <c r="J82" s="202"/>
      <c r="K82" s="202"/>
      <c r="L82" s="202"/>
    </row>
    <row r="83" spans="1:12" x14ac:dyDescent="0.25">
      <c r="A83" s="94">
        <f>A82+1</f>
        <v>38</v>
      </c>
      <c r="B83" s="202"/>
      <c r="C83" s="202"/>
      <c r="D83" s="202"/>
      <c r="E83" s="202"/>
      <c r="F83" s="202"/>
      <c r="G83" s="850" t="s">
        <v>1366</v>
      </c>
      <c r="H83" s="940">
        <v>0</v>
      </c>
      <c r="I83" s="202"/>
      <c r="J83" s="202"/>
      <c r="K83" s="202"/>
      <c r="L83" s="202"/>
    </row>
    <row r="84" spans="1:12" x14ac:dyDescent="0.25">
      <c r="A84" s="208"/>
      <c r="B84" s="202"/>
      <c r="C84" s="202"/>
      <c r="D84" s="202"/>
      <c r="E84" s="202"/>
      <c r="F84" s="202"/>
      <c r="G84" s="208"/>
      <c r="H84" s="202"/>
      <c r="I84" s="202"/>
      <c r="J84" s="202"/>
      <c r="K84" s="202"/>
      <c r="L84" s="202"/>
    </row>
    <row r="85" spans="1:12" x14ac:dyDescent="0.25">
      <c r="A85" s="208"/>
      <c r="B85" s="431" t="s">
        <v>1367</v>
      </c>
      <c r="C85" s="202"/>
      <c r="D85" s="202"/>
      <c r="E85" s="202"/>
      <c r="F85" s="202"/>
      <c r="G85" s="208"/>
      <c r="H85" s="202"/>
      <c r="I85" s="202"/>
      <c r="J85" s="202"/>
      <c r="K85" s="202"/>
      <c r="L85" s="202"/>
    </row>
    <row r="86" spans="1:12" x14ac:dyDescent="0.25">
      <c r="A86" s="208"/>
      <c r="C86" s="202"/>
      <c r="D86" s="202"/>
      <c r="E86" s="202"/>
      <c r="F86" s="202"/>
      <c r="G86" s="24" t="s">
        <v>180</v>
      </c>
      <c r="H86" s="3" t="s">
        <v>172</v>
      </c>
      <c r="I86" s="202"/>
      <c r="J86" s="202"/>
      <c r="K86" s="202"/>
      <c r="L86" s="202"/>
    </row>
    <row r="87" spans="1:12" x14ac:dyDescent="0.25">
      <c r="A87" s="94">
        <f>A83+1</f>
        <v>39</v>
      </c>
      <c r="B87" s="370" t="s">
        <v>1363</v>
      </c>
      <c r="C87" s="202"/>
      <c r="D87" s="202"/>
      <c r="E87" s="202"/>
      <c r="F87" s="202"/>
      <c r="G87" s="430" t="str">
        <f>"Line "&amp;A44&amp;""</f>
        <v>Line 15</v>
      </c>
      <c r="H87" s="940">
        <v>0</v>
      </c>
      <c r="I87" s="202"/>
      <c r="J87" s="202"/>
      <c r="K87" s="202"/>
      <c r="L87" s="202"/>
    </row>
    <row r="88" spans="1:12" x14ac:dyDescent="0.25">
      <c r="A88" s="94">
        <f>A87+1</f>
        <v>40</v>
      </c>
      <c r="B88" s="202" t="s">
        <v>1368</v>
      </c>
      <c r="C88" s="202"/>
      <c r="D88" s="202"/>
      <c r="E88" s="202"/>
      <c r="F88" s="202"/>
      <c r="G88" s="430" t="str">
        <f>"Line "&amp;A83&amp;""</f>
        <v>Line 38</v>
      </c>
      <c r="H88" s="940">
        <v>0</v>
      </c>
      <c r="I88" s="202"/>
      <c r="J88" s="202"/>
      <c r="K88" s="202"/>
      <c r="L88" s="202"/>
    </row>
    <row r="89" spans="1:12" x14ac:dyDescent="0.25">
      <c r="A89" s="94">
        <f>A88+1</f>
        <v>41</v>
      </c>
      <c r="B89" s="11" t="s">
        <v>1450</v>
      </c>
      <c r="C89" s="202"/>
      <c r="D89" s="202"/>
      <c r="E89" s="202"/>
      <c r="F89" s="202"/>
      <c r="G89" s="430" t="str">
        <f>"- 1-Base TRR, L "&amp;'1-BaseTRR'!A139&amp;""</f>
        <v>- 1-Base TRR, L 80</v>
      </c>
      <c r="H89" s="940">
        <v>0</v>
      </c>
      <c r="I89" s="202"/>
      <c r="J89" s="202"/>
      <c r="K89" s="202"/>
      <c r="L89" s="202"/>
    </row>
    <row r="90" spans="1:12" x14ac:dyDescent="0.25">
      <c r="A90" s="94">
        <f t="shared" ref="A90:A93" si="2">A89+1</f>
        <v>42</v>
      </c>
      <c r="B90" s="11" t="s">
        <v>1451</v>
      </c>
      <c r="C90" s="202"/>
      <c r="D90" s="202"/>
      <c r="E90" s="202"/>
      <c r="F90" s="202"/>
      <c r="G90" s="430" t="str">
        <f>"- 2-IFPTRR, L "&amp;'2-IFPTRR'!A89&amp;""</f>
        <v>- 2-IFPTRR, L 80</v>
      </c>
      <c r="H90" s="940">
        <v>0</v>
      </c>
      <c r="I90" s="202"/>
      <c r="J90" s="202"/>
      <c r="K90" s="202"/>
      <c r="L90" s="202"/>
    </row>
    <row r="91" spans="1:12" x14ac:dyDescent="0.25">
      <c r="A91" s="94">
        <f t="shared" si="2"/>
        <v>43</v>
      </c>
      <c r="B91" s="11" t="s">
        <v>98</v>
      </c>
      <c r="C91" s="202"/>
      <c r="D91" s="202"/>
      <c r="E91" s="202"/>
      <c r="F91" s="202"/>
      <c r="G91" s="12" t="str">
        <f>"Sum Line "&amp;A87&amp;" to Line "&amp;A90&amp;""</f>
        <v>Sum Line 39 to Line 42</v>
      </c>
      <c r="H91" s="940">
        <v>0</v>
      </c>
      <c r="I91" s="202"/>
      <c r="J91" s="202"/>
      <c r="K91" s="202"/>
      <c r="L91" s="202"/>
    </row>
    <row r="92" spans="1:12" ht="15" x14ac:dyDescent="0.4">
      <c r="A92" s="94">
        <f t="shared" si="2"/>
        <v>44</v>
      </c>
      <c r="B92" s="11" t="s">
        <v>1375</v>
      </c>
      <c r="C92" s="202"/>
      <c r="D92" s="202"/>
      <c r="E92" s="202"/>
      <c r="F92" s="202"/>
      <c r="H92" s="941">
        <v>0</v>
      </c>
      <c r="I92" s="213" t="s">
        <v>1182</v>
      </c>
      <c r="J92" s="202"/>
      <c r="K92" s="202"/>
      <c r="L92" s="202"/>
    </row>
    <row r="93" spans="1:12" x14ac:dyDescent="0.25">
      <c r="A93" s="94">
        <f t="shared" si="2"/>
        <v>45</v>
      </c>
      <c r="B93" t="s">
        <v>1369</v>
      </c>
      <c r="C93" s="202"/>
      <c r="D93" s="202"/>
      <c r="E93" s="202"/>
      <c r="F93" s="202"/>
      <c r="G93" s="12" t="str">
        <f>"Line "&amp;A91&amp;" + Line "&amp;A92&amp;""</f>
        <v>Line 43 + Line 44</v>
      </c>
      <c r="H93" s="940">
        <v>0</v>
      </c>
      <c r="I93" s="202"/>
      <c r="J93" s="202"/>
      <c r="K93" s="202"/>
      <c r="L93" s="202"/>
    </row>
    <row r="94" spans="1:12" x14ac:dyDescent="0.25">
      <c r="A94" s="202"/>
      <c r="C94" s="202"/>
      <c r="D94" s="202"/>
      <c r="E94" s="202"/>
      <c r="F94" s="202"/>
      <c r="G94" s="202"/>
      <c r="H94" s="202"/>
      <c r="I94" s="202"/>
      <c r="J94" s="202"/>
      <c r="K94" s="202"/>
      <c r="L94" s="202"/>
    </row>
    <row r="95" spans="1:12" x14ac:dyDescent="0.25">
      <c r="A95" s="202"/>
      <c r="B95" s="364" t="s">
        <v>1370</v>
      </c>
      <c r="C95" s="202"/>
      <c r="D95" s="202"/>
      <c r="E95" s="202"/>
      <c r="F95" s="202"/>
      <c r="G95" s="202"/>
      <c r="H95" s="202"/>
      <c r="I95" s="202"/>
      <c r="J95" s="202"/>
      <c r="K95" s="202"/>
      <c r="L95" s="202"/>
    </row>
    <row r="96" spans="1:12" x14ac:dyDescent="0.25">
      <c r="A96" s="202"/>
      <c r="B96" s="202" t="s">
        <v>1371</v>
      </c>
      <c r="C96" s="202"/>
      <c r="D96" s="202"/>
      <c r="E96" s="202"/>
      <c r="F96" s="202"/>
      <c r="G96" s="202"/>
      <c r="H96" s="202"/>
      <c r="I96" s="202"/>
      <c r="J96" s="202"/>
      <c r="K96" s="202"/>
      <c r="L96" s="202"/>
    </row>
    <row r="97" spans="1:12" x14ac:dyDescent="0.25">
      <c r="A97" s="202"/>
      <c r="B97" s="202" t="s">
        <v>1372</v>
      </c>
      <c r="C97" s="202"/>
      <c r="D97" s="202"/>
      <c r="E97" s="202"/>
      <c r="F97" s="202"/>
      <c r="G97" s="202"/>
      <c r="H97" s="202"/>
      <c r="I97" s="202"/>
      <c r="J97" s="202"/>
      <c r="K97" s="202"/>
      <c r="L97" s="202"/>
    </row>
    <row r="98" spans="1:12" x14ac:dyDescent="0.25">
      <c r="A98" s="202"/>
      <c r="B98" s="202" t="str">
        <f>"2) Input Prior Year for this Informational Filing in Line "&amp;A42&amp;"."</f>
        <v>2) Input Prior Year for this Informational Filing in Line 13.</v>
      </c>
      <c r="I98" s="202"/>
      <c r="J98" s="202"/>
      <c r="K98" s="202"/>
      <c r="L98" s="202"/>
    </row>
    <row r="99" spans="1:12" x14ac:dyDescent="0.25">
      <c r="A99" s="202"/>
      <c r="B99" s="202" t="str">
        <f>"3) Calculation: (Line "&amp;A34&amp;", "&amp;H25&amp;") + ((Line "&amp;A34&amp;", "&amp;I25&amp;") * (Line "&amp;A42&amp;" - 2010))."</f>
        <v>3) Calculation: (Line 11, Col 1) + ((Line 11, Col 2) * (Line 13 - 2010)).</v>
      </c>
      <c r="I99" s="202"/>
      <c r="J99" s="202"/>
      <c r="K99" s="202"/>
      <c r="L99" s="202"/>
    </row>
    <row r="100" spans="1:12" x14ac:dyDescent="0.25">
      <c r="A100" s="202"/>
      <c r="B100" s="202" t="str">
        <f>"4) Franchise Fee Exclusion is equal to the Franchise Fee Factor on the 28-FFU Line "&amp;'28-FFU'!A22&amp;""</f>
        <v>4) Franchise Fee Exclusion is equal to the Franchise Fee Factor on the 28-FFU Line 5</v>
      </c>
      <c r="C100" s="202"/>
      <c r="D100" s="202"/>
      <c r="E100" s="202"/>
      <c r="F100" s="202"/>
      <c r="G100" s="208"/>
      <c r="H100" s="202"/>
      <c r="I100" s="202"/>
      <c r="J100" s="202"/>
      <c r="K100" s="202"/>
      <c r="L100" s="202"/>
    </row>
    <row r="101" spans="1:12" x14ac:dyDescent="0.25">
      <c r="A101" s="202"/>
      <c r="B101" s="202" t="str">
        <f>"times Line "&amp;A87&amp;" + "&amp;A88&amp;"."</f>
        <v>times Line 39 + 40.</v>
      </c>
      <c r="C101" s="202"/>
      <c r="D101" s="202"/>
      <c r="E101" s="202"/>
      <c r="F101" s="202"/>
      <c r="G101" s="202"/>
      <c r="H101" s="202"/>
      <c r="I101" s="202"/>
      <c r="J101" s="202"/>
      <c r="K101" s="202"/>
      <c r="L101" s="202"/>
    </row>
    <row r="102" spans="1:12" x14ac:dyDescent="0.25">
      <c r="A102" s="202"/>
      <c r="B102" s="443" t="s">
        <v>2217</v>
      </c>
      <c r="C102" s="202"/>
      <c r="D102" s="202"/>
      <c r="E102" s="202"/>
      <c r="F102" s="202"/>
      <c r="G102" s="202"/>
      <c r="H102" s="202"/>
      <c r="I102" s="202"/>
      <c r="J102" s="202"/>
      <c r="K102" s="202"/>
      <c r="L102" s="202"/>
    </row>
    <row r="103" spans="1:12" x14ac:dyDescent="0.25">
      <c r="A103" s="202"/>
      <c r="B103" s="443" t="s">
        <v>2369</v>
      </c>
      <c r="C103" s="202"/>
      <c r="D103" s="202"/>
      <c r="E103" s="202"/>
      <c r="F103" s="202"/>
      <c r="G103" s="202"/>
      <c r="H103" s="202"/>
      <c r="I103" s="202"/>
      <c r="J103" s="202"/>
      <c r="K103" s="202"/>
      <c r="L103" s="202"/>
    </row>
    <row r="104" spans="1:12" x14ac:dyDescent="0.25">
      <c r="A104" s="202"/>
      <c r="B104" s="202"/>
      <c r="C104" s="202"/>
      <c r="D104" s="202"/>
      <c r="E104" s="202"/>
      <c r="F104" s="202"/>
      <c r="G104" s="202"/>
      <c r="H104" s="202"/>
      <c r="I104" s="202"/>
      <c r="J104" s="202"/>
      <c r="K104" s="202"/>
      <c r="L104" s="202"/>
    </row>
    <row r="105" spans="1:12" x14ac:dyDescent="0.25">
      <c r="A105" s="202"/>
      <c r="B105" s="202"/>
      <c r="C105" s="202"/>
      <c r="D105" s="202"/>
      <c r="E105" s="202"/>
      <c r="F105" s="202"/>
      <c r="G105" s="202"/>
      <c r="H105" s="202"/>
      <c r="I105" s="202"/>
      <c r="J105" s="202"/>
      <c r="K105" s="202"/>
      <c r="L105" s="202"/>
    </row>
    <row r="106" spans="1:12" x14ac:dyDescent="0.25">
      <c r="A106" s="202"/>
      <c r="B106" s="202"/>
      <c r="C106" s="202"/>
      <c r="D106" s="202"/>
      <c r="E106" s="202"/>
      <c r="F106" s="202"/>
      <c r="G106" s="202"/>
      <c r="H106" s="202"/>
      <c r="I106" s="202"/>
      <c r="J106" s="202"/>
      <c r="K106" s="202"/>
      <c r="L106" s="202"/>
    </row>
    <row r="107" spans="1:12" x14ac:dyDescent="0.25">
      <c r="A107" s="202"/>
      <c r="B107" s="202"/>
      <c r="C107" s="202"/>
      <c r="D107" s="202"/>
      <c r="E107" s="202"/>
      <c r="F107" s="202"/>
      <c r="G107" s="202"/>
      <c r="H107" s="202"/>
      <c r="I107" s="202"/>
      <c r="J107" s="202"/>
      <c r="K107" s="202"/>
      <c r="L107" s="202"/>
    </row>
    <row r="108" spans="1:12" x14ac:dyDescent="0.25">
      <c r="A108" s="202"/>
      <c r="B108" s="202"/>
      <c r="C108" s="202"/>
      <c r="D108" s="202"/>
      <c r="E108" s="202"/>
      <c r="F108" s="202"/>
      <c r="G108" s="202"/>
      <c r="H108" s="202"/>
      <c r="I108" s="202"/>
      <c r="J108" s="202"/>
      <c r="K108" s="202"/>
      <c r="L108" s="202"/>
    </row>
    <row r="109" spans="1:12" x14ac:dyDescent="0.25">
      <c r="A109" s="202"/>
      <c r="B109" s="202"/>
      <c r="C109" s="202"/>
      <c r="D109" s="202"/>
      <c r="E109" s="202"/>
      <c r="F109" s="202"/>
      <c r="G109" s="202"/>
      <c r="H109" s="202"/>
      <c r="I109" s="202"/>
      <c r="J109" s="202"/>
      <c r="K109" s="202"/>
      <c r="L109" s="202"/>
    </row>
    <row r="110" spans="1:12" x14ac:dyDescent="0.25">
      <c r="A110" s="202"/>
      <c r="B110" s="202"/>
      <c r="C110" s="202"/>
      <c r="D110" s="202"/>
      <c r="E110" s="202"/>
      <c r="F110" s="202"/>
      <c r="G110" s="202"/>
      <c r="H110" s="202"/>
      <c r="I110" s="202"/>
      <c r="J110" s="202"/>
      <c r="K110" s="202"/>
      <c r="L110" s="202"/>
    </row>
    <row r="111" spans="1:12" x14ac:dyDescent="0.25">
      <c r="A111" s="202"/>
      <c r="B111" s="202"/>
      <c r="C111" s="202"/>
      <c r="D111" s="202"/>
      <c r="E111" s="202"/>
      <c r="F111" s="202"/>
      <c r="G111" s="202"/>
      <c r="H111" s="202"/>
      <c r="I111" s="202"/>
      <c r="J111" s="202"/>
      <c r="K111" s="202"/>
      <c r="L111" s="202"/>
    </row>
    <row r="112" spans="1:12" x14ac:dyDescent="0.25">
      <c r="A112" s="202"/>
      <c r="B112" s="202"/>
      <c r="C112" s="202"/>
      <c r="D112" s="202"/>
      <c r="E112" s="202"/>
      <c r="F112" s="202"/>
      <c r="G112" s="202"/>
      <c r="H112" s="202"/>
      <c r="I112" s="202"/>
      <c r="J112" s="202"/>
      <c r="K112" s="202"/>
      <c r="L112" s="202"/>
    </row>
    <row r="113" spans="1:12" x14ac:dyDescent="0.25">
      <c r="A113" s="202"/>
      <c r="B113" s="202"/>
      <c r="C113" s="202"/>
      <c r="D113" s="202"/>
      <c r="E113" s="202"/>
      <c r="F113" s="202"/>
      <c r="G113" s="202"/>
      <c r="H113" s="202"/>
      <c r="I113" s="202"/>
      <c r="J113" s="202"/>
      <c r="K113" s="202"/>
      <c r="L113" s="202"/>
    </row>
    <row r="114" spans="1:12" x14ac:dyDescent="0.25">
      <c r="A114" s="202"/>
      <c r="B114" s="202"/>
      <c r="C114" s="202"/>
      <c r="D114" s="202"/>
      <c r="E114" s="202"/>
      <c r="F114" s="202"/>
      <c r="G114" s="202"/>
      <c r="H114" s="202"/>
      <c r="I114" s="202"/>
      <c r="J114" s="202"/>
      <c r="K114" s="202"/>
      <c r="L114" s="202"/>
    </row>
    <row r="115" spans="1:12" x14ac:dyDescent="0.25">
      <c r="A115" s="202"/>
      <c r="B115" s="202"/>
      <c r="C115" s="202"/>
      <c r="D115" s="202"/>
      <c r="E115" s="202"/>
      <c r="F115" s="202"/>
      <c r="G115" s="202"/>
      <c r="H115" s="202"/>
      <c r="I115" s="202"/>
      <c r="J115" s="202"/>
      <c r="K115" s="202"/>
      <c r="L115" s="202"/>
    </row>
    <row r="116" spans="1:12" x14ac:dyDescent="0.25">
      <c r="A116" s="202"/>
      <c r="B116" s="202"/>
      <c r="C116" s="202"/>
      <c r="D116" s="202"/>
      <c r="E116" s="202"/>
      <c r="F116" s="202"/>
      <c r="G116" s="202"/>
      <c r="H116" s="202"/>
      <c r="I116" s="202"/>
      <c r="J116" s="202"/>
      <c r="K116" s="202"/>
      <c r="L116" s="202"/>
    </row>
    <row r="117" spans="1:12" x14ac:dyDescent="0.25">
      <c r="A117" s="202"/>
      <c r="B117" s="202"/>
      <c r="C117" s="202"/>
      <c r="D117" s="202"/>
      <c r="E117" s="202"/>
      <c r="F117" s="202"/>
      <c r="G117" s="202"/>
      <c r="H117" s="202"/>
      <c r="I117" s="202"/>
      <c r="J117" s="202"/>
      <c r="K117" s="202"/>
      <c r="L117" s="202"/>
    </row>
    <row r="118" spans="1:12" x14ac:dyDescent="0.25">
      <c r="A118" s="202"/>
      <c r="B118" s="202"/>
      <c r="C118" s="202"/>
      <c r="D118" s="202"/>
      <c r="E118" s="202"/>
      <c r="F118" s="202"/>
      <c r="G118" s="202"/>
      <c r="H118" s="202"/>
      <c r="I118" s="202"/>
      <c r="J118" s="202"/>
      <c r="K118" s="202"/>
      <c r="L118" s="202"/>
    </row>
    <row r="119" spans="1:12" x14ac:dyDescent="0.25">
      <c r="A119" s="202"/>
      <c r="B119" s="202"/>
      <c r="C119" s="202"/>
      <c r="D119" s="202"/>
      <c r="E119" s="202"/>
      <c r="F119" s="202"/>
      <c r="G119" s="202"/>
      <c r="H119" s="202"/>
      <c r="I119" s="202"/>
      <c r="J119" s="202"/>
      <c r="K119" s="202"/>
      <c r="L119" s="202"/>
    </row>
    <row r="120" spans="1:12" x14ac:dyDescent="0.25">
      <c r="A120" s="202"/>
      <c r="B120" s="202"/>
      <c r="C120" s="202"/>
      <c r="D120" s="202"/>
      <c r="E120" s="202"/>
      <c r="F120" s="202"/>
      <c r="G120" s="202"/>
      <c r="H120" s="202"/>
      <c r="I120" s="202"/>
      <c r="J120" s="202"/>
      <c r="K120" s="202"/>
      <c r="L120" s="202"/>
    </row>
    <row r="121" spans="1:12" x14ac:dyDescent="0.25">
      <c r="A121" s="202"/>
      <c r="B121" s="202"/>
      <c r="C121" s="202"/>
      <c r="D121" s="202"/>
      <c r="E121" s="202"/>
      <c r="F121" s="202"/>
      <c r="G121" s="202"/>
      <c r="H121" s="202"/>
      <c r="I121" s="202"/>
      <c r="J121" s="202"/>
      <c r="K121" s="202"/>
      <c r="L121" s="202"/>
    </row>
    <row r="122" spans="1:12" x14ac:dyDescent="0.25">
      <c r="A122" s="202"/>
      <c r="B122" s="202"/>
      <c r="C122" s="202"/>
      <c r="D122" s="202"/>
      <c r="E122" s="202"/>
      <c r="F122" s="202"/>
      <c r="G122" s="202"/>
      <c r="H122" s="202"/>
      <c r="I122" s="202"/>
      <c r="J122" s="202"/>
      <c r="K122" s="202"/>
      <c r="L122" s="202"/>
    </row>
    <row r="123" spans="1:12" x14ac:dyDescent="0.25">
      <c r="A123" s="202"/>
      <c r="B123" s="202"/>
      <c r="C123" s="202"/>
      <c r="D123" s="202"/>
      <c r="E123" s="202"/>
      <c r="F123" s="202"/>
      <c r="G123" s="202"/>
      <c r="H123" s="202"/>
      <c r="I123" s="202"/>
      <c r="J123" s="202"/>
      <c r="K123" s="202"/>
      <c r="L123" s="202"/>
    </row>
    <row r="124" spans="1:12" x14ac:dyDescent="0.25">
      <c r="A124" s="202"/>
      <c r="B124" s="202"/>
      <c r="C124" s="202"/>
      <c r="D124" s="202"/>
      <c r="E124" s="202"/>
      <c r="F124" s="202"/>
      <c r="G124" s="202"/>
      <c r="H124" s="202"/>
      <c r="I124" s="202"/>
      <c r="J124" s="202"/>
      <c r="K124" s="202"/>
      <c r="L124" s="202"/>
    </row>
    <row r="125" spans="1:12" x14ac:dyDescent="0.25">
      <c r="A125" s="202"/>
      <c r="B125" s="202"/>
      <c r="C125" s="202"/>
      <c r="D125" s="202"/>
      <c r="E125" s="202"/>
      <c r="F125" s="202"/>
      <c r="G125" s="202"/>
      <c r="H125" s="202"/>
      <c r="I125" s="202"/>
      <c r="J125" s="202"/>
      <c r="K125" s="202"/>
      <c r="L125" s="202"/>
    </row>
    <row r="126" spans="1:12" x14ac:dyDescent="0.25">
      <c r="A126" s="202"/>
      <c r="B126" s="202"/>
      <c r="C126" s="202"/>
      <c r="D126" s="202"/>
      <c r="E126" s="202"/>
      <c r="F126" s="202"/>
      <c r="G126" s="202"/>
      <c r="H126" s="202"/>
      <c r="I126" s="202"/>
      <c r="J126" s="202"/>
      <c r="K126" s="202"/>
      <c r="L126" s="202"/>
    </row>
    <row r="127" spans="1:12" x14ac:dyDescent="0.25">
      <c r="A127" s="202"/>
      <c r="B127" s="202"/>
      <c r="C127" s="202"/>
      <c r="D127" s="202"/>
      <c r="E127" s="202"/>
      <c r="F127" s="202"/>
      <c r="G127" s="202"/>
      <c r="H127" s="202"/>
      <c r="I127" s="202"/>
      <c r="J127" s="202"/>
      <c r="K127" s="202"/>
      <c r="L127" s="202"/>
    </row>
    <row r="128" spans="1:12" x14ac:dyDescent="0.25">
      <c r="A128" s="202"/>
      <c r="B128" s="202"/>
      <c r="C128" s="202"/>
      <c r="D128" s="202"/>
      <c r="E128" s="202"/>
      <c r="F128" s="202"/>
      <c r="G128" s="202"/>
      <c r="H128" s="202"/>
      <c r="I128" s="202"/>
      <c r="J128" s="202"/>
      <c r="K128" s="202"/>
      <c r="L128" s="202"/>
    </row>
    <row r="129" spans="1:12" x14ac:dyDescent="0.25">
      <c r="A129" s="202"/>
      <c r="B129" s="202"/>
      <c r="C129" s="202"/>
      <c r="D129" s="202"/>
      <c r="E129" s="202"/>
      <c r="F129" s="202"/>
      <c r="G129" s="202"/>
      <c r="H129" s="202"/>
      <c r="I129" s="202"/>
      <c r="J129" s="202"/>
      <c r="K129" s="202"/>
      <c r="L129" s="202"/>
    </row>
    <row r="130" spans="1:12" x14ac:dyDescent="0.25">
      <c r="A130" s="202"/>
      <c r="B130" s="202"/>
      <c r="C130" s="202"/>
      <c r="D130" s="202"/>
      <c r="E130" s="202"/>
      <c r="F130" s="202"/>
      <c r="G130" s="202"/>
      <c r="H130" s="202"/>
      <c r="I130" s="202"/>
      <c r="J130" s="202"/>
      <c r="K130" s="202"/>
      <c r="L130" s="202"/>
    </row>
    <row r="131" spans="1:12" x14ac:dyDescent="0.25">
      <c r="A131" s="202"/>
      <c r="B131" s="202"/>
      <c r="C131" s="202"/>
      <c r="D131" s="202"/>
      <c r="E131" s="202"/>
      <c r="F131" s="202"/>
      <c r="G131" s="202"/>
      <c r="H131" s="202"/>
      <c r="I131" s="202"/>
      <c r="J131" s="202"/>
      <c r="K131" s="202"/>
      <c r="L131" s="202"/>
    </row>
    <row r="132" spans="1:12" x14ac:dyDescent="0.25">
      <c r="A132" s="202"/>
      <c r="B132" s="202"/>
      <c r="C132" s="202"/>
      <c r="D132" s="202"/>
      <c r="E132" s="202"/>
      <c r="F132" s="202"/>
      <c r="G132" s="202"/>
      <c r="H132" s="202"/>
      <c r="I132" s="202"/>
      <c r="J132" s="202"/>
      <c r="K132" s="202"/>
      <c r="L132" s="202"/>
    </row>
    <row r="133" spans="1:12" x14ac:dyDescent="0.25">
      <c r="A133" s="202"/>
      <c r="B133" s="202"/>
      <c r="C133" s="202"/>
      <c r="D133" s="202"/>
      <c r="E133" s="202"/>
      <c r="F133" s="202"/>
      <c r="G133" s="202"/>
      <c r="H133" s="202"/>
      <c r="I133" s="202"/>
      <c r="J133" s="202"/>
      <c r="K133" s="202"/>
      <c r="L133" s="202"/>
    </row>
    <row r="134" spans="1:12" x14ac:dyDescent="0.25">
      <c r="A134" s="202"/>
      <c r="B134" s="202"/>
      <c r="C134" s="202"/>
      <c r="D134" s="202"/>
      <c r="E134" s="202"/>
      <c r="F134" s="202"/>
      <c r="G134" s="202"/>
      <c r="H134" s="202"/>
      <c r="I134" s="202"/>
      <c r="J134" s="202"/>
      <c r="K134" s="202"/>
      <c r="L134" s="202"/>
    </row>
    <row r="135" spans="1:12" x14ac:dyDescent="0.25">
      <c r="A135" s="202"/>
      <c r="B135" s="202"/>
      <c r="C135" s="202"/>
      <c r="D135" s="202"/>
      <c r="E135" s="202"/>
      <c r="F135" s="202"/>
      <c r="G135" s="202"/>
      <c r="H135" s="202"/>
      <c r="I135" s="202"/>
      <c r="J135" s="202"/>
      <c r="K135" s="202"/>
      <c r="L135" s="202"/>
    </row>
    <row r="136" spans="1:12" x14ac:dyDescent="0.25">
      <c r="A136" s="202"/>
      <c r="B136" s="202"/>
      <c r="C136" s="202"/>
      <c r="D136" s="202"/>
      <c r="E136" s="202"/>
      <c r="F136" s="202"/>
      <c r="G136" s="202"/>
      <c r="H136" s="202"/>
      <c r="I136" s="202"/>
      <c r="J136" s="202"/>
      <c r="K136" s="202"/>
      <c r="L136" s="202"/>
    </row>
    <row r="137" spans="1:12" x14ac:dyDescent="0.25">
      <c r="A137" s="202"/>
      <c r="B137" s="202"/>
      <c r="C137" s="202"/>
      <c r="D137" s="202"/>
      <c r="E137" s="202"/>
      <c r="F137" s="202"/>
      <c r="G137" s="202"/>
      <c r="H137" s="202"/>
      <c r="I137" s="202"/>
      <c r="J137" s="202"/>
      <c r="K137" s="202"/>
      <c r="L137" s="202"/>
    </row>
    <row r="138" spans="1:12" x14ac:dyDescent="0.25">
      <c r="A138" s="202"/>
      <c r="B138" s="202"/>
      <c r="C138" s="202"/>
      <c r="D138" s="202"/>
      <c r="E138" s="202"/>
      <c r="F138" s="202"/>
      <c r="G138" s="202"/>
      <c r="H138" s="202"/>
      <c r="I138" s="202"/>
      <c r="J138" s="202"/>
      <c r="K138" s="202"/>
      <c r="L138" s="202"/>
    </row>
    <row r="139" spans="1:12" x14ac:dyDescent="0.25">
      <c r="A139" s="202"/>
      <c r="B139" s="202"/>
      <c r="C139" s="202"/>
      <c r="D139" s="202"/>
      <c r="E139" s="202"/>
      <c r="F139" s="202"/>
      <c r="G139" s="202"/>
      <c r="H139" s="202"/>
      <c r="I139" s="202"/>
      <c r="J139" s="202"/>
      <c r="K139" s="202"/>
      <c r="L139" s="202"/>
    </row>
    <row r="140" spans="1:12" x14ac:dyDescent="0.25">
      <c r="A140" s="202"/>
      <c r="B140" s="202"/>
      <c r="C140" s="202"/>
      <c r="D140" s="202"/>
      <c r="E140" s="202"/>
      <c r="F140" s="202"/>
      <c r="G140" s="202"/>
      <c r="H140" s="202"/>
      <c r="I140" s="202"/>
      <c r="J140" s="202"/>
      <c r="K140" s="202"/>
      <c r="L140" s="202"/>
    </row>
    <row r="141" spans="1:12" x14ac:dyDescent="0.25">
      <c r="A141" s="202"/>
      <c r="B141" s="202"/>
      <c r="C141" s="202"/>
      <c r="D141" s="202"/>
      <c r="E141" s="202"/>
      <c r="F141" s="202"/>
      <c r="G141" s="202"/>
      <c r="H141" s="202"/>
      <c r="I141" s="202"/>
      <c r="J141" s="202"/>
      <c r="K141" s="202"/>
      <c r="L141" s="202"/>
    </row>
    <row r="142" spans="1:12" x14ac:dyDescent="0.25">
      <c r="A142" s="202"/>
      <c r="B142" s="202"/>
      <c r="C142" s="202"/>
      <c r="D142" s="202"/>
      <c r="E142" s="202"/>
      <c r="F142" s="202"/>
      <c r="G142" s="202"/>
      <c r="H142" s="202"/>
      <c r="I142" s="202"/>
      <c r="J142" s="202"/>
      <c r="K142" s="202"/>
      <c r="L142" s="202"/>
    </row>
    <row r="143" spans="1:12" x14ac:dyDescent="0.25">
      <c r="A143" s="202"/>
      <c r="B143" s="202"/>
      <c r="C143" s="202"/>
      <c r="D143" s="202"/>
      <c r="E143" s="202"/>
      <c r="F143" s="202"/>
      <c r="G143" s="202"/>
      <c r="H143" s="202"/>
      <c r="I143" s="202"/>
      <c r="J143" s="202"/>
      <c r="K143" s="202"/>
      <c r="L143" s="202"/>
    </row>
    <row r="144" spans="1:12" x14ac:dyDescent="0.25">
      <c r="A144" s="202"/>
      <c r="B144" s="202"/>
      <c r="C144" s="202"/>
      <c r="D144" s="202"/>
      <c r="E144" s="202"/>
      <c r="F144" s="202"/>
      <c r="G144" s="202"/>
      <c r="H144" s="202"/>
      <c r="I144" s="202"/>
      <c r="J144" s="202"/>
      <c r="K144" s="202"/>
      <c r="L144" s="202"/>
    </row>
    <row r="145" spans="1:12" x14ac:dyDescent="0.25">
      <c r="A145" s="202"/>
      <c r="B145" s="202"/>
      <c r="C145" s="202"/>
      <c r="D145" s="202"/>
      <c r="E145" s="202"/>
      <c r="F145" s="202"/>
      <c r="G145" s="202"/>
      <c r="H145" s="202"/>
      <c r="I145" s="202"/>
      <c r="J145" s="202"/>
      <c r="K145" s="202"/>
      <c r="L145" s="202"/>
    </row>
    <row r="146" spans="1:12" x14ac:dyDescent="0.25">
      <c r="A146" s="202"/>
      <c r="B146" s="202"/>
      <c r="C146" s="202"/>
      <c r="D146" s="202"/>
      <c r="E146" s="202"/>
      <c r="F146" s="202"/>
      <c r="G146" s="202"/>
      <c r="H146" s="202"/>
      <c r="I146" s="202"/>
      <c r="J146" s="202"/>
      <c r="K146" s="202"/>
      <c r="L146" s="202"/>
    </row>
    <row r="147" spans="1:12" x14ac:dyDescent="0.25">
      <c r="A147" s="202"/>
      <c r="B147" s="202"/>
      <c r="C147" s="202"/>
      <c r="D147" s="202"/>
      <c r="E147" s="202"/>
      <c r="F147" s="202"/>
      <c r="G147" s="202"/>
      <c r="H147" s="202"/>
      <c r="I147" s="202"/>
      <c r="J147" s="202"/>
      <c r="K147" s="202"/>
      <c r="L147" s="202"/>
    </row>
    <row r="148" spans="1:12" x14ac:dyDescent="0.25">
      <c r="A148" s="202"/>
      <c r="B148" s="202"/>
      <c r="C148" s="202"/>
      <c r="D148" s="202"/>
      <c r="E148" s="202"/>
      <c r="F148" s="202"/>
      <c r="G148" s="202"/>
      <c r="H148" s="202"/>
      <c r="I148" s="202"/>
      <c r="J148" s="202"/>
      <c r="K148" s="202"/>
      <c r="L148" s="202"/>
    </row>
    <row r="149" spans="1:12" x14ac:dyDescent="0.25">
      <c r="A149" s="202"/>
      <c r="B149" s="202"/>
      <c r="C149" s="202"/>
      <c r="D149" s="202"/>
      <c r="E149" s="202"/>
      <c r="F149" s="202"/>
      <c r="G149" s="202"/>
      <c r="H149" s="202"/>
      <c r="I149" s="202"/>
      <c r="J149" s="202"/>
      <c r="K149" s="202"/>
      <c r="L149" s="202"/>
    </row>
    <row r="150" spans="1:12" x14ac:dyDescent="0.25">
      <c r="A150" s="202"/>
      <c r="B150" s="202"/>
      <c r="C150" s="202"/>
      <c r="D150" s="202"/>
      <c r="E150" s="202"/>
      <c r="F150" s="202"/>
      <c r="G150" s="202"/>
      <c r="H150" s="202"/>
      <c r="I150" s="202"/>
      <c r="J150" s="202"/>
      <c r="K150" s="202"/>
      <c r="L150" s="202"/>
    </row>
    <row r="151" spans="1:12" x14ac:dyDescent="0.25">
      <c r="A151" s="202"/>
      <c r="B151" s="202"/>
      <c r="C151" s="202"/>
      <c r="D151" s="202"/>
      <c r="E151" s="202"/>
      <c r="F151" s="202"/>
      <c r="G151" s="202"/>
      <c r="H151" s="202"/>
      <c r="I151" s="202"/>
      <c r="J151" s="202"/>
      <c r="K151" s="202"/>
      <c r="L151" s="202"/>
    </row>
    <row r="152" spans="1:12" x14ac:dyDescent="0.25">
      <c r="A152" s="202"/>
      <c r="B152" s="202"/>
      <c r="C152" s="202"/>
      <c r="D152" s="202"/>
      <c r="E152" s="202"/>
      <c r="F152" s="202"/>
      <c r="G152" s="202"/>
      <c r="H152" s="202"/>
      <c r="I152" s="202"/>
      <c r="J152" s="202"/>
      <c r="K152" s="202"/>
      <c r="L152" s="202"/>
    </row>
    <row r="153" spans="1:12" x14ac:dyDescent="0.25">
      <c r="A153" s="202"/>
      <c r="B153" s="202"/>
      <c r="C153" s="202"/>
      <c r="D153" s="202"/>
      <c r="E153" s="202"/>
      <c r="F153" s="202"/>
      <c r="G153" s="202"/>
      <c r="H153" s="202"/>
      <c r="I153" s="202"/>
      <c r="J153" s="202"/>
      <c r="K153" s="202"/>
      <c r="L153" s="202"/>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0"/>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2433</v>
      </c>
    </row>
    <row r="3" spans="1:5" x14ac:dyDescent="0.25">
      <c r="B3" s="1" t="s">
        <v>37</v>
      </c>
      <c r="E3" s="86" t="s">
        <v>17</v>
      </c>
    </row>
    <row r="4" spans="1:5" x14ac:dyDescent="0.25">
      <c r="D4" s="2" t="s">
        <v>38</v>
      </c>
    </row>
    <row r="5" spans="1:5" x14ac:dyDescent="0.25">
      <c r="C5" s="1057" t="s">
        <v>2688</v>
      </c>
      <c r="D5" s="2" t="s">
        <v>408</v>
      </c>
    </row>
    <row r="6" spans="1:5" x14ac:dyDescent="0.25">
      <c r="A6" s="3" t="s">
        <v>332</v>
      </c>
      <c r="C6" s="3" t="s">
        <v>194</v>
      </c>
      <c r="D6" s="3" t="s">
        <v>409</v>
      </c>
      <c r="E6" s="3" t="s">
        <v>180</v>
      </c>
    </row>
    <row r="7" spans="1:5" x14ac:dyDescent="0.25">
      <c r="A7" s="2">
        <v>1</v>
      </c>
      <c r="C7" s="216" t="s">
        <v>1388</v>
      </c>
      <c r="D7" s="935" t="s">
        <v>2193</v>
      </c>
      <c r="E7" s="843" t="s">
        <v>2689</v>
      </c>
    </row>
    <row r="8" spans="1:5" x14ac:dyDescent="0.25">
      <c r="A8" s="2">
        <f>A7+1</f>
        <v>2</v>
      </c>
      <c r="E8" s="442"/>
    </row>
    <row r="9" spans="1:5" x14ac:dyDescent="0.25">
      <c r="A9" s="2">
        <f t="shared" ref="A9:A23" si="0">A8+1</f>
        <v>3</v>
      </c>
      <c r="B9" s="1" t="s">
        <v>39</v>
      </c>
    </row>
    <row r="10" spans="1:5" x14ac:dyDescent="0.25">
      <c r="A10" s="2">
        <f t="shared" si="0"/>
        <v>4</v>
      </c>
      <c r="B10" s="1"/>
      <c r="D10" s="2"/>
    </row>
    <row r="11" spans="1:5" x14ac:dyDescent="0.25">
      <c r="A11" s="2">
        <f t="shared" si="0"/>
        <v>5</v>
      </c>
      <c r="D11" s="547" t="s">
        <v>36</v>
      </c>
    </row>
    <row r="12" spans="1:5" x14ac:dyDescent="0.25">
      <c r="A12" s="2">
        <f t="shared" si="0"/>
        <v>6</v>
      </c>
      <c r="C12" s="1057" t="s">
        <v>2688</v>
      </c>
      <c r="D12" s="547" t="s">
        <v>408</v>
      </c>
    </row>
    <row r="13" spans="1:5" x14ac:dyDescent="0.25">
      <c r="A13" s="2">
        <f t="shared" si="0"/>
        <v>7</v>
      </c>
      <c r="C13" s="3" t="s">
        <v>194</v>
      </c>
      <c r="D13" s="3" t="s">
        <v>2434</v>
      </c>
      <c r="E13" s="3" t="s">
        <v>180</v>
      </c>
    </row>
    <row r="14" spans="1:5" x14ac:dyDescent="0.25">
      <c r="A14" s="2">
        <f t="shared" si="0"/>
        <v>8</v>
      </c>
      <c r="C14" s="216" t="s">
        <v>1388</v>
      </c>
      <c r="D14" s="935" t="s">
        <v>2193</v>
      </c>
      <c r="E14" s="898" t="s">
        <v>365</v>
      </c>
    </row>
    <row r="15" spans="1:5" x14ac:dyDescent="0.25">
      <c r="A15" s="2">
        <f t="shared" si="0"/>
        <v>9</v>
      </c>
      <c r="C15" s="47"/>
      <c r="D15" s="13"/>
      <c r="E15" s="12"/>
    </row>
    <row r="16" spans="1:5" x14ac:dyDescent="0.25">
      <c r="A16" s="2">
        <f t="shared" si="0"/>
        <v>10</v>
      </c>
      <c r="C16" s="47"/>
      <c r="D16" s="13"/>
      <c r="E16" s="15"/>
    </row>
    <row r="17" spans="1:9" x14ac:dyDescent="0.25">
      <c r="A17" s="2">
        <f t="shared" si="0"/>
        <v>11</v>
      </c>
      <c r="C17" s="54"/>
      <c r="E17" s="15"/>
    </row>
    <row r="18" spans="1:9" ht="12.75" customHeight="1" x14ac:dyDescent="0.25">
      <c r="A18" s="547">
        <f t="shared" si="0"/>
        <v>12</v>
      </c>
      <c r="B18" s="1" t="s">
        <v>1652</v>
      </c>
      <c r="E18" s="15"/>
    </row>
    <row r="19" spans="1:9" ht="12.75" customHeight="1" x14ac:dyDescent="0.25">
      <c r="A19" s="536">
        <f t="shared" si="0"/>
        <v>13</v>
      </c>
      <c r="E19" s="97"/>
      <c r="F19" s="3" t="s">
        <v>176</v>
      </c>
    </row>
    <row r="20" spans="1:9" ht="12.75" customHeight="1" x14ac:dyDescent="0.25">
      <c r="A20" s="94">
        <f t="shared" si="0"/>
        <v>14</v>
      </c>
      <c r="B20" s="13"/>
      <c r="C20" s="13" t="str">
        <f>"Total Electric Payroll Tax Expense (From 1-BaseTRR, Line "&amp;'1-BaseTRR'!A52&amp;")"</f>
        <v>Total Electric Payroll Tax Expense (From 1-BaseTRR, Line 31)</v>
      </c>
      <c r="D20" s="13"/>
      <c r="E20" s="13"/>
      <c r="F20" s="940">
        <v>0</v>
      </c>
      <c r="G20" s="11"/>
    </row>
    <row r="21" spans="1:9" ht="12.75" customHeight="1" x14ac:dyDescent="0.25">
      <c r="A21" s="94">
        <f t="shared" si="0"/>
        <v>15</v>
      </c>
      <c r="B21" s="13"/>
      <c r="C21" s="445" t="s">
        <v>2435</v>
      </c>
      <c r="D21" s="13"/>
      <c r="E21" s="13"/>
      <c r="F21" s="935" t="s">
        <v>2193</v>
      </c>
      <c r="G21" s="11"/>
    </row>
    <row r="22" spans="1:9" ht="12.75" customHeight="1" x14ac:dyDescent="0.4">
      <c r="A22" s="94">
        <f t="shared" si="0"/>
        <v>16</v>
      </c>
      <c r="B22" s="13"/>
      <c r="C22" s="445" t="str">
        <f>"Capitalized Overhead portion of Electric Payroll Tax Expense (Line "&amp;A20&amp;" * Line "&amp;A21&amp;")"</f>
        <v>Capitalized Overhead portion of Electric Payroll Tax Expense (Line 14 * Line 15)</v>
      </c>
      <c r="D22" s="13"/>
      <c r="E22" s="13"/>
      <c r="F22" s="941">
        <v>0</v>
      </c>
      <c r="G22" s="445"/>
      <c r="H22" s="13"/>
      <c r="I22" s="445"/>
    </row>
    <row r="23" spans="1:9" x14ac:dyDescent="0.25">
      <c r="A23" s="94">
        <f t="shared" si="0"/>
        <v>17</v>
      </c>
      <c r="B23" s="13"/>
      <c r="C23" s="445" t="str">
        <f>"Non-Capitalized Overhead portion of Electric Payroll Tax Expense (Line "&amp;A20&amp;" - Line "&amp;A22&amp;")"</f>
        <v>Non-Capitalized Overhead portion of Electric Payroll Tax Expense (Line 14 - Line 16)</v>
      </c>
      <c r="D23" s="13"/>
      <c r="E23" s="13"/>
      <c r="F23" s="940">
        <v>0</v>
      </c>
      <c r="G23" s="11"/>
      <c r="H23" s="13"/>
    </row>
    <row r="25" spans="1:9" x14ac:dyDescent="0.25">
      <c r="B25" s="44" t="s">
        <v>233</v>
      </c>
    </row>
    <row r="26" spans="1:9" x14ac:dyDescent="0.25">
      <c r="B26" s="864" t="s">
        <v>2436</v>
      </c>
      <c r="C26" s="13"/>
      <c r="D26" s="513" t="s">
        <v>77</v>
      </c>
      <c r="E26" s="86"/>
      <c r="F26" s="86"/>
    </row>
    <row r="27" spans="1:9" x14ac:dyDescent="0.25">
      <c r="B27" s="864" t="s">
        <v>2438</v>
      </c>
      <c r="C27" s="13"/>
      <c r="D27" s="13"/>
      <c r="E27" s="13"/>
      <c r="F27" s="13"/>
    </row>
    <row r="28" spans="1:9" x14ac:dyDescent="0.25">
      <c r="B28" s="653"/>
      <c r="C28" s="13"/>
      <c r="D28" s="513" t="s">
        <v>77</v>
      </c>
      <c r="E28" s="86"/>
      <c r="F28" s="86"/>
    </row>
    <row r="29" spans="1:9" x14ac:dyDescent="0.25">
      <c r="B29" s="445" t="s">
        <v>2437</v>
      </c>
      <c r="C29" s="13"/>
      <c r="D29" s="13"/>
      <c r="E29" s="952" t="s">
        <v>2198</v>
      </c>
    </row>
    <row r="30" spans="1:9" x14ac:dyDescent="0.25">
      <c r="B30" s="442" t="s">
        <v>1820</v>
      </c>
      <c r="C30" s="13"/>
      <c r="D30" s="13"/>
      <c r="E30" s="952" t="s">
        <v>2198</v>
      </c>
    </row>
    <row r="31" spans="1:9" x14ac:dyDescent="0.25">
      <c r="B31" s="1167" t="s">
        <v>2679</v>
      </c>
    </row>
    <row r="32" spans="1:9" x14ac:dyDescent="0.25">
      <c r="B32" s="1167" t="s">
        <v>2680</v>
      </c>
    </row>
    <row r="33" spans="2:2" x14ac:dyDescent="0.25">
      <c r="B33" s="1167" t="s">
        <v>2681</v>
      </c>
    </row>
    <row r="34" spans="2:2" x14ac:dyDescent="0.25">
      <c r="B34" s="1167" t="s">
        <v>2682</v>
      </c>
    </row>
    <row r="35" spans="2:2" x14ac:dyDescent="0.25">
      <c r="B35" s="1167" t="s">
        <v>2693</v>
      </c>
    </row>
    <row r="36" spans="2:2" x14ac:dyDescent="0.25">
      <c r="B36" s="1167" t="s">
        <v>2683</v>
      </c>
    </row>
    <row r="37" spans="2:2" x14ac:dyDescent="0.25">
      <c r="B37" s="1167" t="s">
        <v>2684</v>
      </c>
    </row>
    <row r="38" spans="2:2" x14ac:dyDescent="0.25">
      <c r="B38" s="1167" t="s">
        <v>2685</v>
      </c>
    </row>
    <row r="39" spans="2:2" x14ac:dyDescent="0.25">
      <c r="B39" s="1167" t="s">
        <v>2686</v>
      </c>
    </row>
    <row r="40" spans="2:2" x14ac:dyDescent="0.25">
      <c r="B40" s="1167" t="s">
        <v>2687</v>
      </c>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203</v>
      </c>
      <c r="B1" s="1"/>
    </row>
    <row r="2" spans="1:9" x14ac:dyDescent="0.25">
      <c r="A2" s="1"/>
      <c r="B2" s="1"/>
      <c r="E2" s="86" t="s">
        <v>17</v>
      </c>
    </row>
    <row r="3" spans="1:9" x14ac:dyDescent="0.25">
      <c r="G3" s="88"/>
    </row>
    <row r="4" spans="1:9" x14ac:dyDescent="0.25">
      <c r="A4" s="2"/>
      <c r="B4" s="1" t="s">
        <v>1130</v>
      </c>
      <c r="G4" s="88"/>
    </row>
    <row r="5" spans="1:9" x14ac:dyDescent="0.25">
      <c r="A5" s="2"/>
      <c r="C5" s="1"/>
      <c r="D5" s="2"/>
      <c r="E5" s="2" t="s">
        <v>170</v>
      </c>
      <c r="G5" s="4" t="s">
        <v>64</v>
      </c>
    </row>
    <row r="6" spans="1:9" x14ac:dyDescent="0.25">
      <c r="A6" s="44" t="s">
        <v>332</v>
      </c>
      <c r="C6" s="1"/>
      <c r="D6" s="3" t="s">
        <v>169</v>
      </c>
      <c r="E6" s="3" t="s">
        <v>171</v>
      </c>
      <c r="G6" s="3" t="s">
        <v>172</v>
      </c>
    </row>
    <row r="7" spans="1:9" x14ac:dyDescent="0.25">
      <c r="A7" s="2">
        <v>1</v>
      </c>
      <c r="C7" s="59" t="s">
        <v>335</v>
      </c>
      <c r="E7" s="14" t="str">
        <f>"19-OandM Line "&amp;'19-OandM'!A124&amp;", Col. 7"</f>
        <v>19-OandM Line 91, Col. 7</v>
      </c>
      <c r="G7" s="940">
        <v>0</v>
      </c>
      <c r="I7" s="11"/>
    </row>
    <row r="8" spans="1:9" x14ac:dyDescent="0.25">
      <c r="A8" s="2">
        <f>A7+1</f>
        <v>2</v>
      </c>
      <c r="C8" s="59" t="s">
        <v>240</v>
      </c>
      <c r="E8" s="14" t="s">
        <v>286</v>
      </c>
      <c r="G8" s="932">
        <v>0</v>
      </c>
    </row>
    <row r="9" spans="1:9" x14ac:dyDescent="0.25">
      <c r="A9" s="2">
        <f t="shared" ref="A9:A54" si="0">A8+1</f>
        <v>3</v>
      </c>
      <c r="C9" s="5" t="s">
        <v>241</v>
      </c>
      <c r="E9" s="14" t="s">
        <v>287</v>
      </c>
      <c r="G9" s="932">
        <v>0</v>
      </c>
    </row>
    <row r="10" spans="1:9" x14ac:dyDescent="0.25">
      <c r="A10" s="2">
        <f t="shared" si="0"/>
        <v>4</v>
      </c>
      <c r="C10" s="59" t="s">
        <v>1136</v>
      </c>
      <c r="E10" s="14" t="str">
        <f>"Line "&amp;A8&amp;" - Line "&amp;A9&amp;""</f>
        <v>Line 2 - Line 3</v>
      </c>
      <c r="G10" s="940">
        <v>0</v>
      </c>
    </row>
    <row r="11" spans="1:9" x14ac:dyDescent="0.25">
      <c r="A11" s="2">
        <f t="shared" si="0"/>
        <v>5</v>
      </c>
      <c r="C11" s="865" t="s">
        <v>2042</v>
      </c>
      <c r="E11" s="14" t="str">
        <f>"20-AandG, Note 2"</f>
        <v>20-AandG, Note 2</v>
      </c>
      <c r="G11" s="940">
        <v>0</v>
      </c>
      <c r="I11" s="11"/>
    </row>
    <row r="12" spans="1:9" x14ac:dyDescent="0.25">
      <c r="A12" s="2">
        <f t="shared" si="0"/>
        <v>6</v>
      </c>
      <c r="C12" s="866" t="s">
        <v>2038</v>
      </c>
      <c r="E12" s="14" t="str">
        <f>"20-AandG, Note 2"</f>
        <v>20-AandG, Note 2</v>
      </c>
      <c r="G12" s="940">
        <v>0</v>
      </c>
    </row>
    <row r="13" spans="1:9" x14ac:dyDescent="0.25">
      <c r="A13" s="2">
        <f t="shared" si="0"/>
        <v>7</v>
      </c>
      <c r="C13" s="865" t="s">
        <v>2039</v>
      </c>
      <c r="E13" s="14" t="str">
        <f>"Line "&amp;A11&amp;" - Line "&amp;A12&amp;""</f>
        <v>Line 5 - Line 6</v>
      </c>
      <c r="G13" s="940">
        <v>0</v>
      </c>
    </row>
    <row r="14" spans="1:9" x14ac:dyDescent="0.25">
      <c r="A14" s="2">
        <f t="shared" si="0"/>
        <v>8</v>
      </c>
      <c r="C14" s="865" t="s">
        <v>2040</v>
      </c>
      <c r="E14" s="14" t="str">
        <f>"Line "&amp;A10&amp;" + Line "&amp;A13&amp;""</f>
        <v>Line 4 + Line 7</v>
      </c>
      <c r="G14" s="940">
        <v>0</v>
      </c>
    </row>
    <row r="15" spans="1:9" x14ac:dyDescent="0.25">
      <c r="A15" s="2">
        <f t="shared" si="0"/>
        <v>9</v>
      </c>
      <c r="C15" t="s">
        <v>201</v>
      </c>
      <c r="E15" s="14" t="str">
        <f>"Line "&amp;A7&amp;" / Line "&amp;A14&amp;""</f>
        <v>Line 1 / Line 8</v>
      </c>
      <c r="G15" s="926" t="s">
        <v>2193</v>
      </c>
    </row>
    <row r="16" spans="1:9" x14ac:dyDescent="0.25">
      <c r="A16" s="2">
        <f t="shared" si="0"/>
        <v>10</v>
      </c>
      <c r="E16" s="13"/>
    </row>
    <row r="17" spans="1:11" x14ac:dyDescent="0.25">
      <c r="A17" s="2">
        <f t="shared" si="0"/>
        <v>11</v>
      </c>
      <c r="B17" s="1" t="s">
        <v>1131</v>
      </c>
      <c r="E17" s="13"/>
      <c r="G17" s="88"/>
    </row>
    <row r="18" spans="1:11" x14ac:dyDescent="0.25">
      <c r="A18" s="2">
        <f t="shared" si="0"/>
        <v>12</v>
      </c>
      <c r="D18" s="2"/>
      <c r="E18" s="94" t="s">
        <v>170</v>
      </c>
      <c r="G18" s="4" t="s">
        <v>64</v>
      </c>
    </row>
    <row r="19" spans="1:11" x14ac:dyDescent="0.25">
      <c r="A19" s="2">
        <f t="shared" si="0"/>
        <v>13</v>
      </c>
      <c r="D19" s="3" t="s">
        <v>169</v>
      </c>
      <c r="E19" s="104" t="s">
        <v>171</v>
      </c>
      <c r="G19" s="3" t="s">
        <v>172</v>
      </c>
    </row>
    <row r="20" spans="1:11" x14ac:dyDescent="0.25">
      <c r="A20" s="2">
        <f t="shared" si="0"/>
        <v>14</v>
      </c>
      <c r="C20" t="s">
        <v>336</v>
      </c>
      <c r="E20" s="14" t="str">
        <f>"7-PlantStudy, Line "&amp;'7-PlantStudy'!A28&amp;""</f>
        <v>7-PlantStudy, Line 21</v>
      </c>
      <c r="G20" s="940">
        <v>0</v>
      </c>
    </row>
    <row r="21" spans="1:11" x14ac:dyDescent="0.25">
      <c r="A21" s="2">
        <f t="shared" si="0"/>
        <v>15</v>
      </c>
      <c r="C21" t="s">
        <v>337</v>
      </c>
      <c r="E21" s="14" t="str">
        <f>"7-PlantStudy, Line "&amp;'7-PlantStudy'!A42&amp;""</f>
        <v>7-PlantStudy, Line 30</v>
      </c>
      <c r="G21" s="940">
        <v>0</v>
      </c>
    </row>
    <row r="22" spans="1:11" x14ac:dyDescent="0.25">
      <c r="A22" s="2">
        <f t="shared" si="0"/>
        <v>16</v>
      </c>
      <c r="C22" t="s">
        <v>60</v>
      </c>
      <c r="E22" s="14" t="str">
        <f>"6-PlantInService, Line "&amp;'6-PlantInService'!A53&amp;", C2"</f>
        <v>6-PlantInService, Line 21, C2</v>
      </c>
      <c r="G22" s="940">
        <v>0</v>
      </c>
      <c r="H22" s="88"/>
    </row>
    <row r="23" spans="1:11" x14ac:dyDescent="0.25">
      <c r="A23" s="2">
        <f t="shared" si="0"/>
        <v>17</v>
      </c>
      <c r="C23" s="443" t="s">
        <v>2479</v>
      </c>
      <c r="E23" s="13" t="str">
        <f>"Line "&amp;A22&amp;" * Line "&amp;A15&amp;""</f>
        <v>Line 16 * Line 9</v>
      </c>
      <c r="G23" s="940">
        <v>0</v>
      </c>
    </row>
    <row r="24" spans="1:11" x14ac:dyDescent="0.25">
      <c r="A24" s="2">
        <f t="shared" si="0"/>
        <v>18</v>
      </c>
      <c r="C24" t="s">
        <v>59</v>
      </c>
      <c r="E24" s="14" t="str">
        <f>"6-PlantInService, Line "&amp;'6-PlantInService'!A53&amp;", C1"</f>
        <v>6-PlantInService, Line 21, C1</v>
      </c>
      <c r="G24" s="940">
        <v>0</v>
      </c>
    </row>
    <row r="25" spans="1:11" x14ac:dyDescent="0.25">
      <c r="A25" s="2">
        <f t="shared" si="0"/>
        <v>19</v>
      </c>
      <c r="C25" s="443" t="s">
        <v>2480</v>
      </c>
      <c r="E25" s="13" t="str">
        <f>"Line "&amp;A24&amp;" * Line "&amp;A15&amp;""</f>
        <v>Line 18 * Line 9</v>
      </c>
      <c r="G25" s="940">
        <v>0</v>
      </c>
    </row>
    <row r="26" spans="1:11" x14ac:dyDescent="0.25">
      <c r="A26" s="2">
        <f t="shared" si="0"/>
        <v>20</v>
      </c>
      <c r="C26" s="11" t="s">
        <v>1134</v>
      </c>
      <c r="E26" t="s">
        <v>34</v>
      </c>
      <c r="G26" s="932">
        <v>0</v>
      </c>
    </row>
    <row r="27" spans="1:11" x14ac:dyDescent="0.25">
      <c r="A27" s="2">
        <f t="shared" si="0"/>
        <v>21</v>
      </c>
      <c r="G27" s="88"/>
    </row>
    <row r="28" spans="1:11" x14ac:dyDescent="0.25">
      <c r="A28" s="2">
        <f t="shared" si="0"/>
        <v>22</v>
      </c>
      <c r="C28" t="s">
        <v>58</v>
      </c>
      <c r="E28" s="11" t="str">
        <f>"(L"&amp;A20&amp;" + L"&amp;A21&amp;" + L"&amp;A23&amp;" + L"&amp;A25&amp;") / L"&amp;A26&amp;""</f>
        <v>(L14 + L15 + L17 + L19) / L20</v>
      </c>
      <c r="G28" s="926" t="s">
        <v>2193</v>
      </c>
    </row>
    <row r="29" spans="1:11" x14ac:dyDescent="0.25">
      <c r="A29" s="547">
        <f t="shared" si="0"/>
        <v>23</v>
      </c>
      <c r="E29" s="11"/>
      <c r="G29" s="7"/>
    </row>
    <row r="30" spans="1:11" x14ac:dyDescent="0.25">
      <c r="A30" s="94">
        <f t="shared" si="0"/>
        <v>24</v>
      </c>
      <c r="B30" s="38" t="s">
        <v>1862</v>
      </c>
      <c r="C30" s="13"/>
      <c r="D30" s="13"/>
      <c r="E30" s="13"/>
      <c r="F30" s="13"/>
      <c r="G30" s="13"/>
      <c r="H30" s="13"/>
      <c r="I30" s="13"/>
      <c r="J30" s="13"/>
      <c r="K30" s="13"/>
    </row>
    <row r="31" spans="1:11" x14ac:dyDescent="0.25">
      <c r="A31" s="94">
        <f t="shared" si="0"/>
        <v>25</v>
      </c>
      <c r="B31" s="445"/>
      <c r="C31" s="13"/>
      <c r="D31" s="13"/>
      <c r="E31" s="13"/>
      <c r="F31" s="13"/>
      <c r="G31" s="13"/>
      <c r="H31" s="13"/>
      <c r="I31" s="13"/>
      <c r="J31" s="13"/>
      <c r="K31" s="13"/>
    </row>
    <row r="32" spans="1:11" x14ac:dyDescent="0.25">
      <c r="A32" s="94">
        <f t="shared" si="0"/>
        <v>26</v>
      </c>
      <c r="B32" s="445" t="s">
        <v>2417</v>
      </c>
      <c r="C32" s="13"/>
      <c r="D32" s="104" t="s">
        <v>1803</v>
      </c>
      <c r="E32" s="104" t="s">
        <v>169</v>
      </c>
      <c r="F32" s="13"/>
      <c r="G32" s="534" t="s">
        <v>1804</v>
      </c>
      <c r="H32" s="13"/>
      <c r="I32" s="13"/>
      <c r="J32" s="13"/>
      <c r="K32" s="13"/>
    </row>
    <row r="33" spans="1:11" x14ac:dyDescent="0.25">
      <c r="A33" s="94">
        <f t="shared" si="0"/>
        <v>27</v>
      </c>
      <c r="B33" s="13"/>
      <c r="C33" s="445" t="s">
        <v>1805</v>
      </c>
      <c r="D33" s="953" t="s">
        <v>2199</v>
      </c>
      <c r="E33" s="104"/>
      <c r="F33" s="13"/>
      <c r="G33" s="565" t="s">
        <v>2413</v>
      </c>
      <c r="H33" s="13"/>
      <c r="I33" s="13"/>
      <c r="J33" s="13"/>
      <c r="K33" s="13"/>
    </row>
    <row r="34" spans="1:11" x14ac:dyDescent="0.25">
      <c r="A34" s="94">
        <f t="shared" si="0"/>
        <v>28</v>
      </c>
      <c r="B34" s="13"/>
      <c r="C34" s="445" t="s">
        <v>1806</v>
      </c>
      <c r="D34" s="953" t="s">
        <v>2199</v>
      </c>
      <c r="E34" s="104"/>
      <c r="F34" s="13"/>
      <c r="G34" s="565" t="s">
        <v>2397</v>
      </c>
      <c r="H34" s="13"/>
      <c r="I34" s="13"/>
      <c r="J34" s="13"/>
      <c r="K34" s="13"/>
    </row>
    <row r="35" spans="1:11" x14ac:dyDescent="0.25">
      <c r="A35" s="94">
        <f t="shared" si="0"/>
        <v>29</v>
      </c>
      <c r="B35" s="13"/>
      <c r="C35" s="445" t="s">
        <v>1807</v>
      </c>
      <c r="D35" s="929" t="s">
        <v>2199</v>
      </c>
      <c r="E35" s="14" t="str">
        <f>" = L"&amp;A33&amp;" + L"&amp;A34&amp;""</f>
        <v xml:space="preserve"> = L27 + L28</v>
      </c>
      <c r="F35" s="13"/>
      <c r="G35" s="565" t="s">
        <v>2414</v>
      </c>
      <c r="H35" s="13"/>
      <c r="I35" s="13"/>
      <c r="J35" s="13"/>
      <c r="K35" s="13"/>
    </row>
    <row r="36" spans="1:11" x14ac:dyDescent="0.25">
      <c r="A36" s="94">
        <f t="shared" si="0"/>
        <v>30</v>
      </c>
      <c r="B36" s="13"/>
      <c r="C36" s="445" t="s">
        <v>1808</v>
      </c>
      <c r="D36" s="926" t="s">
        <v>2193</v>
      </c>
      <c r="E36" s="14" t="str">
        <f>" = L"&amp;A33&amp;" / L"&amp;A35&amp;""</f>
        <v xml:space="preserve"> = L27 / L29</v>
      </c>
      <c r="F36" s="13"/>
      <c r="G36" s="867"/>
      <c r="H36" s="13"/>
      <c r="I36" s="13"/>
      <c r="J36" s="13"/>
      <c r="K36" s="13"/>
    </row>
    <row r="37" spans="1:11" x14ac:dyDescent="0.25">
      <c r="A37" s="94">
        <f t="shared" si="0"/>
        <v>31</v>
      </c>
      <c r="B37" s="104"/>
      <c r="C37" s="104"/>
      <c r="D37" s="13"/>
      <c r="E37" s="104"/>
      <c r="F37" s="13"/>
      <c r="G37" s="104"/>
      <c r="H37" s="13"/>
      <c r="I37" s="13"/>
      <c r="J37" s="13"/>
      <c r="K37" s="13"/>
    </row>
    <row r="38" spans="1:11" x14ac:dyDescent="0.25">
      <c r="A38" s="94">
        <f t="shared" si="0"/>
        <v>32</v>
      </c>
      <c r="B38" s="445" t="s">
        <v>2418</v>
      </c>
      <c r="C38" s="13"/>
      <c r="D38" s="104" t="s">
        <v>1803</v>
      </c>
      <c r="E38" s="104" t="s">
        <v>169</v>
      </c>
      <c r="F38" s="13"/>
      <c r="G38" s="534" t="s">
        <v>1804</v>
      </c>
      <c r="H38" s="13"/>
      <c r="I38" s="13"/>
      <c r="J38" s="13"/>
      <c r="K38" s="13"/>
    </row>
    <row r="39" spans="1:11" x14ac:dyDescent="0.25">
      <c r="A39" s="94">
        <f t="shared" si="0"/>
        <v>33</v>
      </c>
      <c r="B39" s="848"/>
      <c r="C39" s="445" t="s">
        <v>1809</v>
      </c>
      <c r="D39" s="953" t="s">
        <v>2199</v>
      </c>
      <c r="E39" s="104"/>
      <c r="F39" s="13"/>
      <c r="G39" s="867" t="s">
        <v>1289</v>
      </c>
      <c r="H39" s="13"/>
      <c r="I39" s="13"/>
      <c r="J39" s="13"/>
      <c r="K39" s="13"/>
    </row>
    <row r="40" spans="1:11" x14ac:dyDescent="0.25">
      <c r="A40" s="94">
        <f t="shared" si="0"/>
        <v>34</v>
      </c>
      <c r="B40" s="848"/>
      <c r="C40" s="445" t="s">
        <v>1810</v>
      </c>
      <c r="D40" s="953" t="s">
        <v>2199</v>
      </c>
      <c r="E40" s="104"/>
      <c r="F40" s="13"/>
      <c r="G40" s="867" t="s">
        <v>1300</v>
      </c>
      <c r="H40" s="13"/>
      <c r="I40" s="13"/>
      <c r="J40" s="13"/>
      <c r="K40" s="13"/>
    </row>
    <row r="41" spans="1:11" x14ac:dyDescent="0.25">
      <c r="A41" s="94">
        <f t="shared" si="0"/>
        <v>35</v>
      </c>
      <c r="B41" s="848"/>
      <c r="C41" s="445" t="s">
        <v>1811</v>
      </c>
      <c r="D41" s="929" t="s">
        <v>2199</v>
      </c>
      <c r="E41" s="14" t="str">
        <f>" = L"&amp;A39&amp;" + L"&amp;A40&amp;""</f>
        <v xml:space="preserve"> = L33 + L34</v>
      </c>
      <c r="F41" s="13"/>
      <c r="G41" s="13"/>
      <c r="H41" s="13"/>
      <c r="I41" s="13"/>
      <c r="J41" s="13"/>
      <c r="K41" s="13"/>
    </row>
    <row r="42" spans="1:11" x14ac:dyDescent="0.25">
      <c r="A42" s="94">
        <f t="shared" si="0"/>
        <v>36</v>
      </c>
      <c r="B42" s="848"/>
      <c r="C42" s="445" t="s">
        <v>1812</v>
      </c>
      <c r="D42" s="926" t="s">
        <v>2193</v>
      </c>
      <c r="E42" s="14" t="str">
        <f>" = L"&amp;A39&amp;" / L"&amp;A41&amp;""</f>
        <v xml:space="preserve"> = L33 / L35</v>
      </c>
      <c r="F42" s="13"/>
      <c r="G42" s="13"/>
      <c r="H42" s="13"/>
      <c r="I42" s="13"/>
      <c r="J42" s="13"/>
      <c r="K42" s="13"/>
    </row>
    <row r="43" spans="1:11" x14ac:dyDescent="0.25">
      <c r="A43" s="94">
        <f t="shared" si="0"/>
        <v>37</v>
      </c>
      <c r="B43" s="13"/>
      <c r="C43" s="13"/>
      <c r="D43" s="13"/>
      <c r="E43" s="13"/>
      <c r="F43" s="13"/>
      <c r="G43" s="13"/>
      <c r="H43" s="13"/>
      <c r="I43" s="13"/>
      <c r="J43" s="13"/>
      <c r="K43" s="13"/>
    </row>
    <row r="44" spans="1:11" x14ac:dyDescent="0.25">
      <c r="A44" s="94">
        <f t="shared" si="0"/>
        <v>38</v>
      </c>
      <c r="B44" s="445" t="s">
        <v>2419</v>
      </c>
      <c r="C44" s="13"/>
      <c r="D44" s="104" t="s">
        <v>1803</v>
      </c>
      <c r="E44" s="104" t="s">
        <v>169</v>
      </c>
      <c r="F44" s="13"/>
      <c r="G44" s="534" t="s">
        <v>1804</v>
      </c>
      <c r="H44" s="13"/>
      <c r="I44" s="13"/>
      <c r="J44" s="13"/>
      <c r="K44" s="13"/>
    </row>
    <row r="45" spans="1:11" x14ac:dyDescent="0.25">
      <c r="A45" s="94">
        <f t="shared" si="0"/>
        <v>39</v>
      </c>
      <c r="B45" s="848"/>
      <c r="C45" s="445" t="s">
        <v>1813</v>
      </c>
      <c r="D45" s="953" t="s">
        <v>2199</v>
      </c>
      <c r="E45" s="104"/>
      <c r="F45" s="13"/>
      <c r="G45" s="867" t="s">
        <v>2416</v>
      </c>
      <c r="H45" s="13"/>
      <c r="I45" s="13"/>
      <c r="J45" s="13"/>
      <c r="K45" s="13"/>
    </row>
    <row r="46" spans="1:11" x14ac:dyDescent="0.25">
      <c r="A46" s="94">
        <f t="shared" si="0"/>
        <v>40</v>
      </c>
      <c r="B46" s="848"/>
      <c r="C46" s="445" t="s">
        <v>2415</v>
      </c>
      <c r="D46" s="953" t="s">
        <v>2199</v>
      </c>
      <c r="E46" s="104"/>
      <c r="F46" s="13"/>
      <c r="G46" s="867"/>
      <c r="H46" s="13"/>
      <c r="I46" s="13"/>
      <c r="J46" s="13"/>
      <c r="K46" s="13"/>
    </row>
    <row r="47" spans="1:11" x14ac:dyDescent="0.25">
      <c r="A47" s="94">
        <f t="shared" si="0"/>
        <v>41</v>
      </c>
      <c r="B47" s="848"/>
      <c r="C47" s="445" t="s">
        <v>1814</v>
      </c>
      <c r="D47" s="929" t="s">
        <v>2199</v>
      </c>
      <c r="E47" s="14" t="str">
        <f>" = L"&amp;A45&amp;" + L"&amp;A46&amp;""</f>
        <v xml:space="preserve"> = L39 + L40</v>
      </c>
      <c r="F47" s="13"/>
      <c r="G47" s="13"/>
      <c r="H47" s="13"/>
      <c r="I47" s="13"/>
      <c r="J47" s="13"/>
      <c r="K47" s="13"/>
    </row>
    <row r="48" spans="1:11" x14ac:dyDescent="0.25">
      <c r="A48" s="94">
        <f t="shared" si="0"/>
        <v>42</v>
      </c>
      <c r="B48" s="848"/>
      <c r="C48" s="445" t="s">
        <v>1815</v>
      </c>
      <c r="D48" s="926" t="s">
        <v>2193</v>
      </c>
      <c r="E48" s="14" t="str">
        <f>" = L"&amp;A45&amp;" / L"&amp;A47&amp;""</f>
        <v xml:space="preserve"> = L39 / L41</v>
      </c>
      <c r="F48" s="13"/>
      <c r="G48" s="13"/>
      <c r="H48" s="13"/>
      <c r="I48" s="13"/>
      <c r="J48" s="13"/>
      <c r="K48" s="13"/>
    </row>
    <row r="49" spans="1:11" x14ac:dyDescent="0.25">
      <c r="A49" s="94">
        <f t="shared" si="0"/>
        <v>43</v>
      </c>
      <c r="B49" s="13"/>
      <c r="C49" s="72"/>
      <c r="D49" s="13"/>
      <c r="E49" s="13"/>
      <c r="F49" s="13"/>
      <c r="G49" s="13"/>
      <c r="H49" s="13"/>
      <c r="I49" s="13"/>
      <c r="J49" s="13"/>
      <c r="K49" s="13"/>
    </row>
    <row r="50" spans="1:11" x14ac:dyDescent="0.25">
      <c r="A50" s="94">
        <f t="shared" si="0"/>
        <v>44</v>
      </c>
      <c r="B50" s="445" t="s">
        <v>2420</v>
      </c>
      <c r="C50" s="13"/>
      <c r="D50" s="104" t="s">
        <v>1803</v>
      </c>
      <c r="E50" s="104" t="s">
        <v>169</v>
      </c>
      <c r="F50" s="13"/>
      <c r="G50" s="534" t="s">
        <v>1804</v>
      </c>
      <c r="H50" s="13"/>
      <c r="I50" s="13"/>
      <c r="J50" s="13"/>
      <c r="K50" s="13"/>
    </row>
    <row r="51" spans="1:11" x14ac:dyDescent="0.25">
      <c r="A51" s="94">
        <f t="shared" si="0"/>
        <v>45</v>
      </c>
      <c r="B51" s="848"/>
      <c r="C51" s="445" t="s">
        <v>1818</v>
      </c>
      <c r="D51" s="953" t="s">
        <v>2199</v>
      </c>
      <c r="E51" s="104"/>
      <c r="F51" s="13"/>
      <c r="G51" s="565" t="s">
        <v>2403</v>
      </c>
      <c r="H51" s="13"/>
      <c r="I51" s="13"/>
      <c r="J51" s="13"/>
      <c r="K51" s="13"/>
    </row>
    <row r="52" spans="1:11" x14ac:dyDescent="0.25">
      <c r="A52" s="94">
        <f t="shared" si="0"/>
        <v>46</v>
      </c>
      <c r="B52" s="848"/>
      <c r="C52" s="445" t="s">
        <v>1816</v>
      </c>
      <c r="D52" s="953" t="s">
        <v>2199</v>
      </c>
      <c r="E52" s="104"/>
      <c r="F52" s="13"/>
      <c r="G52" s="565" t="s">
        <v>1304</v>
      </c>
      <c r="H52" s="13"/>
      <c r="I52" s="13"/>
      <c r="J52" s="13"/>
      <c r="K52" s="13"/>
    </row>
    <row r="53" spans="1:11" x14ac:dyDescent="0.25">
      <c r="A53" s="94">
        <f t="shared" si="0"/>
        <v>47</v>
      </c>
      <c r="B53" s="848"/>
      <c r="C53" s="445" t="s">
        <v>1817</v>
      </c>
      <c r="D53" s="929" t="s">
        <v>2199</v>
      </c>
      <c r="E53" s="14" t="str">
        <f>" = L"&amp;A51&amp;" + L"&amp;A52&amp;""</f>
        <v xml:space="preserve"> = L45 + L46</v>
      </c>
      <c r="F53" s="13"/>
      <c r="G53" s="565" t="s">
        <v>1305</v>
      </c>
      <c r="H53" s="13"/>
      <c r="I53" s="13"/>
      <c r="J53" s="13"/>
      <c r="K53" s="13"/>
    </row>
    <row r="54" spans="1:11" x14ac:dyDescent="0.25">
      <c r="A54" s="94">
        <f t="shared" si="0"/>
        <v>48</v>
      </c>
      <c r="B54" s="848"/>
      <c r="C54" s="445" t="s">
        <v>1819</v>
      </c>
      <c r="D54" s="926" t="s">
        <v>2193</v>
      </c>
      <c r="E54" s="14" t="str">
        <f>" = L"&amp;A51&amp;" / L"&amp;A53&amp;""</f>
        <v xml:space="preserve"> = L45 / L47</v>
      </c>
      <c r="F54" s="13"/>
      <c r="G54" s="565" t="s">
        <v>2404</v>
      </c>
      <c r="H54" s="13"/>
      <c r="I54" s="13"/>
      <c r="J54" s="13"/>
      <c r="K54" s="13"/>
    </row>
    <row r="55" spans="1:11" x14ac:dyDescent="0.25">
      <c r="A55" s="547"/>
    </row>
    <row r="56" spans="1:11" x14ac:dyDescent="0.25">
      <c r="A56" s="547"/>
    </row>
    <row r="57" spans="1:11" x14ac:dyDescent="0.25">
      <c r="A57" s="547"/>
    </row>
    <row r="58" spans="1:11" x14ac:dyDescent="0.25">
      <c r="A58" s="547"/>
    </row>
    <row r="59" spans="1:11" x14ac:dyDescent="0.25">
      <c r="A59" s="547"/>
    </row>
    <row r="60" spans="1:11" x14ac:dyDescent="0.25">
      <c r="A60" s="547"/>
    </row>
    <row r="61" spans="1:11" x14ac:dyDescent="0.25">
      <c r="A61" s="547"/>
    </row>
    <row r="62" spans="1:11" x14ac:dyDescent="0.25">
      <c r="A62" s="547"/>
    </row>
    <row r="63" spans="1:11" x14ac:dyDescent="0.25">
      <c r="A63" s="547"/>
    </row>
    <row r="64" spans="1:11" x14ac:dyDescent="0.25">
      <c r="A64" s="547"/>
    </row>
    <row r="65" spans="1:1" x14ac:dyDescent="0.25">
      <c r="A65" s="547"/>
    </row>
    <row r="66" spans="1:1" x14ac:dyDescent="0.25">
      <c r="A66" s="547"/>
    </row>
  </sheetData>
  <phoneticPr fontId="9" type="noConversion"/>
  <pageMargins left="0.75" right="0.75" top="1" bottom="1" header="0.5" footer="0.5"/>
  <pageSetup scale="68" orientation="landscape" cellComments="asDisplayed" r:id="rId1"/>
  <headerFooter alignWithMargins="0">
    <oddHeader xml:space="preserve">&amp;C&amp;"Arial,Bold"Schedule 27
Allocation Factors&amp;"Arial,Regular"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1654</v>
      </c>
    </row>
    <row r="3" spans="1:9" x14ac:dyDescent="0.25">
      <c r="B3" s="1" t="s">
        <v>503</v>
      </c>
      <c r="I3" s="86" t="s">
        <v>17</v>
      </c>
    </row>
    <row r="4" spans="1:9" x14ac:dyDescent="0.25">
      <c r="B4" s="1"/>
      <c r="I4" s="13"/>
    </row>
    <row r="5" spans="1:9" x14ac:dyDescent="0.25">
      <c r="E5" s="94" t="s">
        <v>1879</v>
      </c>
    </row>
    <row r="6" spans="1:9" x14ac:dyDescent="0.25">
      <c r="A6" s="44" t="s">
        <v>332</v>
      </c>
      <c r="C6" s="3" t="s">
        <v>235</v>
      </c>
      <c r="D6" s="3" t="s">
        <v>236</v>
      </c>
      <c r="E6" s="869" t="s">
        <v>64</v>
      </c>
      <c r="G6" s="3" t="s">
        <v>237</v>
      </c>
      <c r="I6" s="44" t="s">
        <v>206</v>
      </c>
    </row>
    <row r="7" spans="1:9" x14ac:dyDescent="0.25">
      <c r="A7" s="2">
        <v>1</v>
      </c>
      <c r="C7" s="513" t="s">
        <v>77</v>
      </c>
      <c r="D7" s="513" t="s">
        <v>77</v>
      </c>
      <c r="E7" s="513" t="s">
        <v>77</v>
      </c>
      <c r="G7" s="935" t="s">
        <v>2193</v>
      </c>
      <c r="I7" s="513" t="s">
        <v>77</v>
      </c>
    </row>
    <row r="8" spans="1:9" x14ac:dyDescent="0.25">
      <c r="A8" s="2">
        <v>2</v>
      </c>
      <c r="C8" s="513" t="s">
        <v>77</v>
      </c>
      <c r="D8" s="513" t="s">
        <v>77</v>
      </c>
      <c r="E8" s="513" t="s">
        <v>77</v>
      </c>
      <c r="G8" s="935" t="s">
        <v>2193</v>
      </c>
      <c r="I8" s="513" t="s">
        <v>77</v>
      </c>
    </row>
    <row r="10" spans="1:9" x14ac:dyDescent="0.25">
      <c r="B10" s="1" t="s">
        <v>1655</v>
      </c>
    </row>
    <row r="11" spans="1:9" x14ac:dyDescent="0.25">
      <c r="B11" s="1"/>
    </row>
    <row r="12" spans="1:9" x14ac:dyDescent="0.25">
      <c r="E12" s="94" t="s">
        <v>1879</v>
      </c>
    </row>
    <row r="13" spans="1:9" x14ac:dyDescent="0.25">
      <c r="C13" s="3" t="s">
        <v>235</v>
      </c>
      <c r="D13" s="3" t="s">
        <v>236</v>
      </c>
      <c r="E13" s="869" t="s">
        <v>64</v>
      </c>
      <c r="G13" s="3" t="s">
        <v>238</v>
      </c>
      <c r="I13" s="44" t="s">
        <v>206</v>
      </c>
    </row>
    <row r="14" spans="1:9" x14ac:dyDescent="0.25">
      <c r="A14" s="2">
        <v>3</v>
      </c>
      <c r="C14" s="513" t="s">
        <v>77</v>
      </c>
      <c r="D14" s="513" t="s">
        <v>77</v>
      </c>
      <c r="E14" s="513" t="s">
        <v>77</v>
      </c>
      <c r="G14" s="935" t="s">
        <v>2193</v>
      </c>
      <c r="I14" s="513" t="s">
        <v>77</v>
      </c>
    </row>
    <row r="15" spans="1:9" x14ac:dyDescent="0.25">
      <c r="A15" s="2">
        <v>4</v>
      </c>
      <c r="C15" s="513" t="s">
        <v>77</v>
      </c>
      <c r="D15" s="513" t="s">
        <v>77</v>
      </c>
      <c r="E15" s="513" t="s">
        <v>77</v>
      </c>
      <c r="G15" s="935" t="s">
        <v>2193</v>
      </c>
      <c r="I15" s="513" t="s">
        <v>77</v>
      </c>
    </row>
    <row r="18" spans="1:9" x14ac:dyDescent="0.25">
      <c r="B18" s="1" t="s">
        <v>502</v>
      </c>
    </row>
    <row r="19" spans="1:9" x14ac:dyDescent="0.25">
      <c r="B19" s="1"/>
    </row>
    <row r="20" spans="1:9" x14ac:dyDescent="0.25">
      <c r="C20" s="2" t="s">
        <v>407</v>
      </c>
      <c r="D20" s="2"/>
      <c r="E20" s="2"/>
    </row>
    <row r="21" spans="1:9" x14ac:dyDescent="0.25">
      <c r="C21" s="3" t="s">
        <v>194</v>
      </c>
      <c r="D21" s="3" t="s">
        <v>237</v>
      </c>
      <c r="E21" s="3" t="s">
        <v>238</v>
      </c>
      <c r="I21" s="44" t="s">
        <v>169</v>
      </c>
    </row>
    <row r="22" spans="1:9" x14ac:dyDescent="0.25">
      <c r="A22" s="2">
        <v>5</v>
      </c>
      <c r="C22" s="513" t="s">
        <v>77</v>
      </c>
      <c r="D22" s="954" t="s">
        <v>2193</v>
      </c>
      <c r="E22" s="954" t="s">
        <v>2193</v>
      </c>
      <c r="F22" s="13"/>
      <c r="G22" s="13"/>
      <c r="H22" s="13"/>
      <c r="I22" s="445" t="s">
        <v>1749</v>
      </c>
    </row>
    <row r="24" spans="1:9" x14ac:dyDescent="0.25">
      <c r="B24" s="1" t="s">
        <v>233</v>
      </c>
    </row>
    <row r="25" spans="1:9" x14ac:dyDescent="0.25">
      <c r="B25" s="11" t="s">
        <v>553</v>
      </c>
    </row>
    <row r="26" spans="1:9" x14ac:dyDescent="0.25">
      <c r="B26" s="11" t="s">
        <v>552</v>
      </c>
    </row>
    <row r="28" spans="1:9" x14ac:dyDescent="0.25">
      <c r="B28" s="1" t="s">
        <v>382</v>
      </c>
    </row>
    <row r="29" spans="1:9" x14ac:dyDescent="0.25">
      <c r="B29" s="445" t="s">
        <v>1751</v>
      </c>
      <c r="C29" s="13"/>
      <c r="D29" s="13"/>
      <c r="E29" s="13"/>
      <c r="F29" s="13"/>
      <c r="G29" s="13"/>
      <c r="H29" s="13"/>
      <c r="I29" s="13"/>
    </row>
    <row r="30" spans="1:9" x14ac:dyDescent="0.25">
      <c r="B30" s="445" t="s">
        <v>1761</v>
      </c>
      <c r="C30" s="13"/>
      <c r="D30" s="13"/>
      <c r="E30" s="13"/>
      <c r="F30" s="13"/>
      <c r="G30" s="13"/>
      <c r="H30" s="13"/>
      <c r="I30" s="13"/>
    </row>
    <row r="31" spans="1:9" x14ac:dyDescent="0.25">
      <c r="B31" s="445" t="s">
        <v>1884</v>
      </c>
      <c r="C31" s="13"/>
      <c r="D31" s="13"/>
      <c r="E31" s="13"/>
      <c r="F31" s="13"/>
      <c r="G31" s="13"/>
      <c r="H31" s="13"/>
      <c r="I31" s="13"/>
    </row>
    <row r="32" spans="1:9" x14ac:dyDescent="0.25">
      <c r="B32" s="445" t="s">
        <v>1883</v>
      </c>
      <c r="C32" s="13"/>
      <c r="D32" s="13"/>
      <c r="E32" s="13"/>
      <c r="F32" s="13"/>
      <c r="G32" s="13"/>
      <c r="H32" s="13"/>
      <c r="I32" s="13"/>
    </row>
    <row r="33" spans="2:9" x14ac:dyDescent="0.25">
      <c r="B33" s="445" t="s">
        <v>1746</v>
      </c>
      <c r="C33" s="13"/>
      <c r="D33" s="13"/>
      <c r="E33" s="13"/>
      <c r="F33" s="13"/>
      <c r="G33" s="13"/>
      <c r="H33" s="13"/>
      <c r="I33" s="13"/>
    </row>
    <row r="34" spans="2:9" x14ac:dyDescent="0.25">
      <c r="B34" s="445" t="s">
        <v>1747</v>
      </c>
      <c r="C34" s="13"/>
      <c r="D34" s="13"/>
      <c r="E34" s="13"/>
      <c r="F34" s="13"/>
      <c r="G34" s="13"/>
      <c r="H34" s="13"/>
      <c r="I34" s="13"/>
    </row>
    <row r="35" spans="2:9" x14ac:dyDescent="0.25">
      <c r="B35" s="445" t="s">
        <v>2043</v>
      </c>
      <c r="C35" s="13"/>
      <c r="D35" s="13"/>
      <c r="E35" s="13"/>
      <c r="F35" s="13"/>
      <c r="G35" s="13"/>
      <c r="H35" s="13"/>
      <c r="I35" s="13"/>
    </row>
    <row r="36" spans="2:9" x14ac:dyDescent="0.25">
      <c r="B36" s="445" t="s">
        <v>1750</v>
      </c>
      <c r="C36" s="13"/>
      <c r="D36" s="13"/>
      <c r="E36" s="13"/>
      <c r="F36" s="13"/>
      <c r="G36" s="13"/>
      <c r="H36" s="13"/>
      <c r="I36" s="13"/>
    </row>
    <row r="37" spans="2:9" x14ac:dyDescent="0.25">
      <c r="B37" s="445" t="s">
        <v>1748</v>
      </c>
      <c r="C37" s="13"/>
      <c r="D37" s="13"/>
      <c r="E37" s="13"/>
      <c r="F37" s="13"/>
      <c r="G37" s="13"/>
      <c r="H37" s="13"/>
      <c r="I37" s="13"/>
    </row>
    <row r="38" spans="2:9" x14ac:dyDescent="0.25">
      <c r="B38" s="445" t="s">
        <v>1882</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04" t="s">
        <v>1443</v>
      </c>
      <c r="F40" s="13"/>
      <c r="G40" s="844" t="s">
        <v>155</v>
      </c>
      <c r="H40" s="13"/>
      <c r="I40" s="13"/>
    </row>
    <row r="41" spans="2:9" x14ac:dyDescent="0.25">
      <c r="B41" s="13"/>
      <c r="C41" s="13"/>
      <c r="D41" s="858" t="s">
        <v>1880</v>
      </c>
      <c r="E41" s="954" t="s">
        <v>2193</v>
      </c>
      <c r="F41" s="13"/>
      <c r="G41" s="565" t="s">
        <v>2443</v>
      </c>
      <c r="H41" s="13"/>
      <c r="I41" s="13"/>
    </row>
    <row r="42" spans="2:9" x14ac:dyDescent="0.25">
      <c r="B42" s="13"/>
      <c r="C42" s="13"/>
      <c r="D42" s="858" t="s">
        <v>1881</v>
      </c>
      <c r="E42" s="954" t="s">
        <v>2193</v>
      </c>
      <c r="F42" s="13"/>
      <c r="G42" s="565" t="s">
        <v>2444</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1391</v>
      </c>
    </row>
    <row r="2" spans="1:10" x14ac:dyDescent="0.25">
      <c r="G2" s="37" t="s">
        <v>17</v>
      </c>
      <c r="H2" s="37"/>
      <c r="I2" s="86"/>
    </row>
    <row r="3" spans="1:10" x14ac:dyDescent="0.25">
      <c r="A3" s="3" t="s">
        <v>332</v>
      </c>
      <c r="B3" s="3" t="s">
        <v>84</v>
      </c>
      <c r="F3" s="44" t="s">
        <v>169</v>
      </c>
      <c r="G3" s="44" t="s">
        <v>180</v>
      </c>
      <c r="J3" s="44"/>
    </row>
    <row r="4" spans="1:10" x14ac:dyDescent="0.25">
      <c r="A4" s="2">
        <v>1</v>
      </c>
      <c r="B4" s="940">
        <v>0</v>
      </c>
      <c r="C4" s="45" t="s">
        <v>134</v>
      </c>
      <c r="G4" s="14" t="str">
        <f>"1-BaseTRR, Line "&amp;'1-BaseTRR'!A156&amp;""</f>
        <v>1-BaseTRR, Line 89</v>
      </c>
      <c r="H4" s="13"/>
    </row>
    <row r="5" spans="1:10" x14ac:dyDescent="0.25">
      <c r="A5" s="2">
        <f t="shared" ref="A5:A10" si="0">A4+1</f>
        <v>2</v>
      </c>
      <c r="B5" s="932">
        <v>0</v>
      </c>
      <c r="C5" s="45" t="s">
        <v>135</v>
      </c>
      <c r="F5" s="11" t="s">
        <v>364</v>
      </c>
      <c r="G5" s="513" t="s">
        <v>77</v>
      </c>
      <c r="H5" s="86"/>
      <c r="I5" s="513"/>
    </row>
    <row r="6" spans="1:10" x14ac:dyDescent="0.25">
      <c r="A6" s="2">
        <f t="shared" si="0"/>
        <v>3</v>
      </c>
      <c r="B6" s="932">
        <v>0</v>
      </c>
      <c r="C6" s="45" t="s">
        <v>136</v>
      </c>
      <c r="G6" s="513" t="s">
        <v>77</v>
      </c>
      <c r="H6" s="86"/>
      <c r="I6" s="513"/>
    </row>
    <row r="7" spans="1:10" x14ac:dyDescent="0.25">
      <c r="A7" s="2">
        <f t="shared" si="0"/>
        <v>4</v>
      </c>
      <c r="B7" s="932">
        <v>0</v>
      </c>
      <c r="C7" s="45" t="s">
        <v>137</v>
      </c>
      <c r="G7" s="513" t="s">
        <v>77</v>
      </c>
      <c r="H7" s="86"/>
      <c r="I7" s="513"/>
    </row>
    <row r="8" spans="1:10" x14ac:dyDescent="0.25">
      <c r="A8" s="2">
        <f t="shared" si="0"/>
        <v>5</v>
      </c>
      <c r="B8" s="940">
        <v>0</v>
      </c>
      <c r="C8" s="45" t="s">
        <v>138</v>
      </c>
      <c r="F8" t="s">
        <v>365</v>
      </c>
      <c r="G8" t="s">
        <v>83</v>
      </c>
    </row>
    <row r="9" spans="1:10" x14ac:dyDescent="0.25">
      <c r="A9" s="2">
        <f t="shared" si="0"/>
        <v>6</v>
      </c>
      <c r="B9" s="926" t="s">
        <v>2193</v>
      </c>
      <c r="C9" s="45" t="s">
        <v>82</v>
      </c>
      <c r="G9" s="14" t="str">
        <f>"31-HVLV, Line "&amp;'31-HVLV'!A45&amp;""</f>
        <v>31-HVLV, Line 37</v>
      </c>
      <c r="H9" s="13"/>
    </row>
    <row r="10" spans="1:10" x14ac:dyDescent="0.25">
      <c r="A10" s="2">
        <f t="shared" si="0"/>
        <v>7</v>
      </c>
      <c r="B10" s="926" t="s">
        <v>2193</v>
      </c>
      <c r="C10" s="45" t="s">
        <v>81</v>
      </c>
      <c r="G10" s="14" t="str">
        <f>"31-HVLV, Line "&amp;'31-HVLV'!A45&amp;""</f>
        <v>31-HVLV, Line 37</v>
      </c>
      <c r="H10" s="13"/>
    </row>
    <row r="11" spans="1:10" x14ac:dyDescent="0.25">
      <c r="C11" s="30"/>
      <c r="D11" s="80"/>
      <c r="E11" s="80"/>
      <c r="F11" s="80"/>
      <c r="G11" s="80"/>
      <c r="H11" s="80"/>
      <c r="J11" s="80"/>
    </row>
    <row r="12" spans="1:10" x14ac:dyDescent="0.25">
      <c r="B12" s="1" t="s">
        <v>1516</v>
      </c>
      <c r="C12" s="30"/>
      <c r="D12" s="80"/>
      <c r="E12" s="80"/>
      <c r="F12" s="80"/>
      <c r="G12" s="80"/>
      <c r="H12" s="80"/>
    </row>
    <row r="13" spans="1:10" x14ac:dyDescent="0.25">
      <c r="B13" s="1"/>
      <c r="C13" s="30"/>
      <c r="D13" s="80"/>
      <c r="E13" s="80"/>
      <c r="F13" s="80"/>
      <c r="G13" s="80"/>
      <c r="H13" s="80"/>
    </row>
    <row r="14" spans="1:10" x14ac:dyDescent="0.25">
      <c r="B14" s="1"/>
      <c r="C14" s="30"/>
      <c r="D14" s="76" t="s">
        <v>363</v>
      </c>
      <c r="E14" s="76" t="s">
        <v>347</v>
      </c>
      <c r="F14" s="76" t="s">
        <v>348</v>
      </c>
      <c r="G14" s="80"/>
      <c r="H14" s="80"/>
    </row>
    <row r="15" spans="1:10" x14ac:dyDescent="0.25">
      <c r="B15" s="1"/>
      <c r="C15" s="30"/>
      <c r="F15" s="80"/>
      <c r="G15" s="80"/>
      <c r="H15" s="80"/>
    </row>
    <row r="16" spans="1:10" x14ac:dyDescent="0.25">
      <c r="E16" s="2" t="s">
        <v>472</v>
      </c>
      <c r="F16" s="2" t="s">
        <v>473</v>
      </c>
    </row>
    <row r="17" spans="1:8" x14ac:dyDescent="0.25">
      <c r="C17" s="30"/>
      <c r="D17" s="3" t="s">
        <v>139</v>
      </c>
      <c r="E17" s="3" t="s">
        <v>471</v>
      </c>
      <c r="F17" s="3" t="s">
        <v>471</v>
      </c>
      <c r="G17" s="3"/>
      <c r="H17" s="3" t="s">
        <v>180</v>
      </c>
    </row>
    <row r="18" spans="1:8" x14ac:dyDescent="0.25">
      <c r="A18" s="2">
        <f>A10+1</f>
        <v>8</v>
      </c>
      <c r="B18" s="81"/>
      <c r="C18" s="61" t="s">
        <v>150</v>
      </c>
      <c r="D18" s="940">
        <v>0</v>
      </c>
      <c r="E18" s="940">
        <v>0</v>
      </c>
      <c r="F18" s="940">
        <v>0</v>
      </c>
      <c r="G18" s="6"/>
      <c r="H18" s="443" t="s">
        <v>284</v>
      </c>
    </row>
    <row r="19" spans="1:8" x14ac:dyDescent="0.25">
      <c r="A19" s="465">
        <f>A18+1</f>
        <v>9</v>
      </c>
      <c r="B19" s="81"/>
      <c r="C19" s="61" t="s">
        <v>1514</v>
      </c>
      <c r="D19" s="940">
        <v>0</v>
      </c>
      <c r="E19" s="940">
        <v>0</v>
      </c>
      <c r="F19" s="940">
        <v>0</v>
      </c>
      <c r="G19" s="6"/>
      <c r="H19" s="443" t="s">
        <v>957</v>
      </c>
    </row>
    <row r="20" spans="1:8" x14ac:dyDescent="0.25">
      <c r="A20" s="465">
        <f>A19+1</f>
        <v>10</v>
      </c>
      <c r="B20" s="81"/>
      <c r="C20" s="61" t="s">
        <v>1515</v>
      </c>
      <c r="D20" s="940">
        <v>0</v>
      </c>
      <c r="E20" s="940">
        <v>0</v>
      </c>
      <c r="F20" s="940">
        <v>0</v>
      </c>
      <c r="G20" s="6"/>
      <c r="H20" s="443" t="s">
        <v>958</v>
      </c>
    </row>
    <row r="21" spans="1:8" x14ac:dyDescent="0.25">
      <c r="B21" s="81"/>
      <c r="C21" s="81"/>
      <c r="D21" s="6"/>
      <c r="E21" s="6"/>
      <c r="F21" s="6"/>
      <c r="G21" s="6"/>
    </row>
    <row r="22" spans="1:8" x14ac:dyDescent="0.25">
      <c r="A22" s="2">
        <f>A20+1</f>
        <v>11</v>
      </c>
      <c r="B22" s="1"/>
      <c r="C22" s="61" t="s">
        <v>140</v>
      </c>
      <c r="D22" s="940">
        <v>0</v>
      </c>
      <c r="E22" s="940">
        <v>0</v>
      </c>
      <c r="F22" s="940">
        <v>0</v>
      </c>
      <c r="G22" s="6"/>
      <c r="H22" t="str">
        <f>"Lines "&amp;A5&amp;" to "&amp;A7&amp;""</f>
        <v>Lines 2 to 4</v>
      </c>
    </row>
    <row r="23" spans="1:8" x14ac:dyDescent="0.25">
      <c r="B23" s="1"/>
      <c r="C23" s="61"/>
      <c r="D23" s="6"/>
      <c r="E23" s="6"/>
      <c r="F23" s="6"/>
      <c r="G23" s="6"/>
    </row>
    <row r="24" spans="1:8" ht="15" x14ac:dyDescent="0.4">
      <c r="A24" s="2">
        <f>A22+1</f>
        <v>12</v>
      </c>
      <c r="B24" s="1"/>
      <c r="C24" s="61" t="s">
        <v>1644</v>
      </c>
      <c r="D24" s="941">
        <v>0</v>
      </c>
      <c r="E24" s="941">
        <v>0</v>
      </c>
      <c r="F24" s="941">
        <v>0</v>
      </c>
      <c r="G24" s="82"/>
      <c r="H24" s="443" t="s">
        <v>528</v>
      </c>
    </row>
    <row r="25" spans="1:8" x14ac:dyDescent="0.25">
      <c r="A25" s="531"/>
      <c r="B25" s="1"/>
      <c r="C25" s="61"/>
      <c r="D25" s="82"/>
      <c r="E25" s="82"/>
      <c r="F25" s="82"/>
      <c r="G25" s="82"/>
      <c r="H25" s="443"/>
    </row>
    <row r="26" spans="1:8" x14ac:dyDescent="0.25">
      <c r="B26" s="1"/>
      <c r="C26" s="61" t="s">
        <v>1645</v>
      </c>
      <c r="D26" s="82"/>
      <c r="E26" s="82"/>
      <c r="F26" s="82"/>
      <c r="G26" s="82"/>
    </row>
    <row r="27" spans="1:8" x14ac:dyDescent="0.25">
      <c r="A27" s="2">
        <f>A24+1</f>
        <v>13</v>
      </c>
      <c r="B27" s="1"/>
      <c r="C27" s="61" t="s">
        <v>1646</v>
      </c>
      <c r="D27" s="940">
        <v>0</v>
      </c>
      <c r="E27" s="940">
        <v>0</v>
      </c>
      <c r="F27" s="940">
        <v>0</v>
      </c>
      <c r="G27" s="6"/>
      <c r="H27" s="89" t="str">
        <f>"Sum of Lines "&amp;A18&amp;", "&amp;A22&amp;", and "&amp;A24&amp;""</f>
        <v>Sum of Lines 8, 11, and 12</v>
      </c>
    </row>
    <row r="28" spans="1:8" x14ac:dyDescent="0.25">
      <c r="E28" s="6"/>
    </row>
    <row r="29" spans="1:8" x14ac:dyDescent="0.25">
      <c r="B29" s="44" t="s">
        <v>233</v>
      </c>
    </row>
    <row r="30" spans="1:8" x14ac:dyDescent="0.25">
      <c r="B30" s="11" t="s">
        <v>1419</v>
      </c>
    </row>
    <row r="31" spans="1:8" x14ac:dyDescent="0.25">
      <c r="B31" s="443" t="s">
        <v>1656</v>
      </c>
    </row>
    <row r="32" spans="1:8" x14ac:dyDescent="0.25">
      <c r="B32" s="11" t="s">
        <v>1420</v>
      </c>
    </row>
    <row r="33" spans="2:6" x14ac:dyDescent="0.25">
      <c r="B33" s="445" t="s">
        <v>1796</v>
      </c>
      <c r="C33" s="13"/>
      <c r="D33" s="513" t="s">
        <v>77</v>
      </c>
      <c r="E33" s="86"/>
      <c r="F33" s="13"/>
    </row>
    <row r="34" spans="2:6" x14ac:dyDescent="0.25">
      <c r="B34" s="14" t="str">
        <f>"3) Column 1 is from Line "&amp;A4&amp;"."</f>
        <v>3) Column 1 is from Line 1.</v>
      </c>
      <c r="C34" s="13"/>
    </row>
    <row r="35" spans="2:6" x14ac:dyDescent="0.25">
      <c r="B35" s="40" t="str">
        <f>"Column 2 equals Column 1 * Line "&amp;A9&amp;"."</f>
        <v>Column 2 equals Column 1 * Line 6.</v>
      </c>
      <c r="C35" s="13"/>
    </row>
    <row r="36" spans="2:6" x14ac:dyDescent="0.25">
      <c r="B36" s="40"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1417</v>
      </c>
    </row>
    <row r="2" spans="1:9" x14ac:dyDescent="0.25">
      <c r="B2" s="1"/>
    </row>
    <row r="3" spans="1:9" x14ac:dyDescent="0.25">
      <c r="B3" s="11" t="s">
        <v>141</v>
      </c>
      <c r="E3" s="13"/>
      <c r="F3" s="96"/>
    </row>
    <row r="4" spans="1:9" x14ac:dyDescent="0.25">
      <c r="B4" s="11"/>
    </row>
    <row r="5" spans="1:9" x14ac:dyDescent="0.25">
      <c r="B5" s="12" t="s">
        <v>142</v>
      </c>
    </row>
    <row r="6" spans="1:9" x14ac:dyDescent="0.25">
      <c r="B6" s="447" t="s">
        <v>2358</v>
      </c>
    </row>
    <row r="7" spans="1:9" x14ac:dyDescent="0.25">
      <c r="B7" s="447" t="s">
        <v>2359</v>
      </c>
    </row>
    <row r="8" spans="1:9" x14ac:dyDescent="0.25">
      <c r="B8" s="11"/>
    </row>
    <row r="9" spans="1:9" x14ac:dyDescent="0.25">
      <c r="B9" s="11"/>
    </row>
    <row r="10" spans="1:9" x14ac:dyDescent="0.25">
      <c r="B10" s="1" t="s">
        <v>143</v>
      </c>
    </row>
    <row r="11" spans="1:9" x14ac:dyDescent="0.25">
      <c r="A11" s="3" t="s">
        <v>332</v>
      </c>
      <c r="G11" s="3" t="s">
        <v>180</v>
      </c>
    </row>
    <row r="12" spans="1:9" x14ac:dyDescent="0.25">
      <c r="A12" s="2">
        <v>1</v>
      </c>
      <c r="D12" s="83" t="s">
        <v>1393</v>
      </c>
      <c r="E12" s="940">
        <v>0</v>
      </c>
      <c r="G12" s="40" t="str">
        <f>"29-WholesaleTRRs, Line "&amp;'29-WholesaleTRRs'!A27&amp;", C3"</f>
        <v>29-WholesaleTRRs, Line 13, C3</v>
      </c>
      <c r="H12" s="13"/>
      <c r="I12" s="13"/>
    </row>
    <row r="13" spans="1:9" x14ac:dyDescent="0.25">
      <c r="A13" s="2">
        <f>A12+1</f>
        <v>2</v>
      </c>
      <c r="D13" s="83" t="s">
        <v>1392</v>
      </c>
      <c r="E13" s="929" t="s">
        <v>77</v>
      </c>
      <c r="F13" s="12" t="s">
        <v>285</v>
      </c>
      <c r="G13" s="40" t="str">
        <f>"32-Gross Load, Line "&amp;'32-GrossLoad'!A7&amp;""</f>
        <v>32-Gross Load, Line 3</v>
      </c>
      <c r="H13" s="13"/>
      <c r="I13" s="13"/>
    </row>
    <row r="14" spans="1:9" x14ac:dyDescent="0.25">
      <c r="A14" s="2">
        <f>A13+1</f>
        <v>3</v>
      </c>
      <c r="D14" s="83" t="s">
        <v>1394</v>
      </c>
      <c r="E14" s="940">
        <v>0</v>
      </c>
      <c r="F14" s="15" t="s">
        <v>144</v>
      </c>
      <c r="G14" s="96" t="str">
        <f>"Line "&amp;A12&amp;" / (Line "&amp;A13&amp;" * 1000)"</f>
        <v>Line 1 / (Line 2 * 1000)</v>
      </c>
      <c r="H14" s="13"/>
      <c r="I14" s="13"/>
    </row>
    <row r="15" spans="1:9" x14ac:dyDescent="0.25">
      <c r="D15" s="30"/>
      <c r="E15" s="64"/>
      <c r="G15" s="13"/>
      <c r="H15" s="13"/>
      <c r="I15" s="13"/>
    </row>
    <row r="16" spans="1:9" x14ac:dyDescent="0.25">
      <c r="G16" s="13"/>
      <c r="H16" s="13"/>
      <c r="I16" s="13"/>
    </row>
    <row r="17" spans="1:9" x14ac:dyDescent="0.25">
      <c r="B17" s="1" t="s">
        <v>145</v>
      </c>
      <c r="G17" s="13"/>
      <c r="H17" s="13"/>
      <c r="I17" s="13"/>
    </row>
    <row r="18" spans="1:9" x14ac:dyDescent="0.25">
      <c r="C18" s="45" t="s">
        <v>146</v>
      </c>
      <c r="G18" s="13"/>
      <c r="H18" s="13"/>
      <c r="I18" s="13"/>
    </row>
    <row r="19" spans="1:9" x14ac:dyDescent="0.25">
      <c r="G19" s="104" t="s">
        <v>180</v>
      </c>
      <c r="H19" s="13"/>
      <c r="I19" s="13"/>
    </row>
    <row r="20" spans="1:9" x14ac:dyDescent="0.25">
      <c r="A20" s="547">
        <f>A14+1</f>
        <v>4</v>
      </c>
      <c r="D20" s="30" t="s">
        <v>147</v>
      </c>
      <c r="E20" s="940">
        <v>0</v>
      </c>
      <c r="G20" s="40" t="str">
        <f>"29-WholesaleTRRs, Line "&amp;'29-WholesaleTRRs'!A27&amp;", C2"</f>
        <v>29-WholesaleTRRs, Line 13, C2</v>
      </c>
      <c r="H20" s="13"/>
      <c r="I20" s="13"/>
    </row>
    <row r="21" spans="1:9" x14ac:dyDescent="0.25">
      <c r="A21" s="2">
        <f>A20+1</f>
        <v>5</v>
      </c>
      <c r="D21" s="83" t="s">
        <v>1392</v>
      </c>
      <c r="E21" s="929" t="s">
        <v>77</v>
      </c>
      <c r="F21" s="12" t="s">
        <v>285</v>
      </c>
      <c r="G21" s="40" t="str">
        <f>"32-Gross Load, Line "&amp;'32-GrossLoad'!A7&amp;""</f>
        <v>32-Gross Load, Line 3</v>
      </c>
      <c r="H21" s="13"/>
      <c r="I21" s="13"/>
    </row>
    <row r="22" spans="1:9" x14ac:dyDescent="0.25">
      <c r="A22" s="2">
        <f>A21+1</f>
        <v>6</v>
      </c>
      <c r="D22" s="83" t="s">
        <v>1395</v>
      </c>
      <c r="E22" s="940">
        <v>0</v>
      </c>
      <c r="F22" s="15" t="s">
        <v>144</v>
      </c>
      <c r="G22" s="96" t="str">
        <f>"Line "&amp;A20&amp;" / (Line "&amp;A21&amp;" * 1000)"</f>
        <v>Line 4 / (Line 5 * 1000)</v>
      </c>
      <c r="H22" s="13"/>
      <c r="I22" s="13"/>
    </row>
    <row r="23" spans="1:9" x14ac:dyDescent="0.25">
      <c r="G23" s="13"/>
      <c r="H23" s="13"/>
      <c r="I23" s="13"/>
    </row>
    <row r="24" spans="1:9" x14ac:dyDescent="0.25">
      <c r="B24" s="1" t="s">
        <v>148</v>
      </c>
      <c r="G24" s="13"/>
      <c r="H24" s="13"/>
      <c r="I24" s="13"/>
    </row>
    <row r="25" spans="1:9" x14ac:dyDescent="0.25">
      <c r="G25" s="104" t="s">
        <v>180</v>
      </c>
      <c r="H25" s="13"/>
      <c r="I25" s="13"/>
    </row>
    <row r="26" spans="1:9" x14ac:dyDescent="0.25">
      <c r="A26" s="2">
        <f>A22+1</f>
        <v>7</v>
      </c>
      <c r="D26" s="83" t="s">
        <v>1396</v>
      </c>
      <c r="E26" s="940">
        <v>0</v>
      </c>
      <c r="G26" s="40" t="str">
        <f>"29-WholesaleTRRs, Line "&amp;'29-WholesaleTRRs'!A27&amp;", C2"</f>
        <v>29-WholesaleTRRs, Line 13, C2</v>
      </c>
      <c r="H26" s="13"/>
      <c r="I26" s="13"/>
    </row>
    <row r="27" spans="1:9" x14ac:dyDescent="0.25">
      <c r="A27" s="2">
        <f>A26+1</f>
        <v>8</v>
      </c>
      <c r="D27" s="83" t="s">
        <v>1397</v>
      </c>
      <c r="E27" s="929" t="s">
        <v>77</v>
      </c>
      <c r="F27" s="15" t="s">
        <v>149</v>
      </c>
      <c r="G27" s="40" t="str">
        <f>"32-Gross Load, Line "&amp;'32-GrossLoad'!A10&amp;""</f>
        <v>32-Gross Load, Line 4</v>
      </c>
      <c r="H27" s="13"/>
      <c r="I27" s="13"/>
    </row>
    <row r="28" spans="1:9" x14ac:dyDescent="0.25">
      <c r="A28" s="2">
        <f>A27+1</f>
        <v>9</v>
      </c>
      <c r="D28" s="83" t="s">
        <v>1398</v>
      </c>
      <c r="E28" s="940">
        <v>0</v>
      </c>
      <c r="F28" s="12" t="s">
        <v>329</v>
      </c>
      <c r="G28" s="96" t="str">
        <f>"Line "&amp;A26&amp;" / (Line "&amp;A27&amp;" * 1000)"</f>
        <v>Line 7 / (Line 8 * 1000)</v>
      </c>
      <c r="H28" s="13"/>
      <c r="I28" s="13"/>
    </row>
    <row r="29" spans="1:9" x14ac:dyDescent="0.25">
      <c r="G29" s="13"/>
      <c r="H29" s="13"/>
      <c r="I29" s="13"/>
    </row>
    <row r="31" spans="1:9" x14ac:dyDescent="0.25">
      <c r="B31" s="44" t="s">
        <v>233</v>
      </c>
    </row>
    <row r="32" spans="1:9" x14ac:dyDescent="0.25">
      <c r="B32" s="11" t="s">
        <v>1418</v>
      </c>
    </row>
    <row r="33" spans="2:4" x14ac:dyDescent="0.25">
      <c r="B33" s="443" t="s">
        <v>1797</v>
      </c>
      <c r="D33"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21" customWidth="1"/>
    <col min="3" max="3" width="16.33203125" style="121" customWidth="1"/>
    <col min="4" max="4" width="14.6640625" style="121" customWidth="1"/>
    <col min="5" max="5" width="16" style="121" customWidth="1"/>
    <col min="6" max="6" width="3.44140625" style="121" bestFit="1" customWidth="1"/>
    <col min="7" max="8" width="14.6640625" style="121" customWidth="1"/>
    <col min="9" max="9" width="17.33203125" style="121" customWidth="1"/>
    <col min="10" max="11" width="14.6640625" style="121" customWidth="1"/>
  </cols>
  <sheetData>
    <row r="1" spans="1:11" ht="13.2" x14ac:dyDescent="0.25">
      <c r="A1" s="217" t="s">
        <v>460</v>
      </c>
      <c r="B1" s="16"/>
      <c r="C1" s="16"/>
      <c r="D1" s="16"/>
      <c r="E1" s="16"/>
      <c r="F1" s="16"/>
      <c r="G1" s="16"/>
      <c r="H1" s="16"/>
      <c r="I1" s="16"/>
      <c r="J1" s="16"/>
      <c r="K1" s="16"/>
    </row>
    <row r="2" spans="1:11" ht="13.2" x14ac:dyDescent="0.25">
      <c r="A2" s="16" t="s">
        <v>470</v>
      </c>
      <c r="B2" s="16"/>
      <c r="C2" s="16"/>
      <c r="D2" s="16"/>
      <c r="E2" s="16"/>
      <c r="F2" s="16"/>
      <c r="G2" s="16"/>
      <c r="H2" s="16"/>
      <c r="I2" s="218" t="s">
        <v>452</v>
      </c>
      <c r="J2" s="218"/>
      <c r="K2" s="16"/>
    </row>
    <row r="3" spans="1:11" ht="13.2" x14ac:dyDescent="0.25">
      <c r="A3" s="11"/>
      <c r="B3" s="16"/>
      <c r="C3" s="16"/>
      <c r="D3" s="16"/>
      <c r="E3" s="16"/>
      <c r="F3" s="16"/>
      <c r="G3" s="16"/>
      <c r="H3" s="16"/>
      <c r="I3" s="16"/>
      <c r="J3" s="16"/>
      <c r="K3" s="16"/>
    </row>
    <row r="4" spans="1:11" ht="13.2" x14ac:dyDescent="0.25">
      <c r="A4" s="11"/>
      <c r="B4" s="16"/>
      <c r="C4" s="16"/>
      <c r="D4" s="16"/>
      <c r="E4" s="16"/>
      <c r="F4" s="16"/>
      <c r="G4" s="454" t="s">
        <v>1753</v>
      </c>
      <c r="H4" s="228"/>
      <c r="I4" s="228"/>
      <c r="J4" s="228"/>
      <c r="K4" s="16"/>
    </row>
    <row r="5" spans="1:11" x14ac:dyDescent="0.3">
      <c r="A5" s="11"/>
      <c r="B5" s="217" t="s">
        <v>481</v>
      </c>
      <c r="C5" s="16"/>
      <c r="D5" s="16"/>
      <c r="E5" s="16"/>
      <c r="F5" s="16"/>
      <c r="G5" s="454" t="s">
        <v>1754</v>
      </c>
      <c r="H5" s="870"/>
      <c r="I5" s="228"/>
      <c r="J5" s="228"/>
      <c r="K5" s="16"/>
    </row>
    <row r="6" spans="1:11" ht="13.2" x14ac:dyDescent="0.25">
      <c r="A6" s="11"/>
      <c r="B6" s="16"/>
      <c r="C6" s="23" t="s">
        <v>462</v>
      </c>
      <c r="D6" s="23"/>
      <c r="E6" s="23"/>
      <c r="F6" s="23"/>
      <c r="G6" s="23"/>
      <c r="H6" s="23"/>
      <c r="I6" s="23" t="s">
        <v>14</v>
      </c>
      <c r="J6" s="23" t="s">
        <v>15</v>
      </c>
      <c r="K6" s="23" t="s">
        <v>76</v>
      </c>
    </row>
    <row r="7" spans="1:11" ht="13.2" x14ac:dyDescent="0.25">
      <c r="A7" s="11"/>
      <c r="B7" s="217" t="s">
        <v>467</v>
      </c>
      <c r="C7" s="25" t="s">
        <v>463</v>
      </c>
      <c r="D7" s="25" t="s">
        <v>425</v>
      </c>
      <c r="E7" s="25" t="s">
        <v>457</v>
      </c>
      <c r="F7" s="25"/>
      <c r="G7" s="25" t="s">
        <v>464</v>
      </c>
      <c r="H7" s="25" t="s">
        <v>465</v>
      </c>
      <c r="I7" s="25" t="s">
        <v>457</v>
      </c>
      <c r="J7" s="25" t="s">
        <v>457</v>
      </c>
      <c r="K7" s="25" t="s">
        <v>466</v>
      </c>
    </row>
    <row r="8" spans="1:11" ht="13.2" x14ac:dyDescent="0.25">
      <c r="A8" s="3" t="s">
        <v>332</v>
      </c>
      <c r="B8" s="217"/>
      <c r="C8" s="25"/>
      <c r="D8" s="25"/>
      <c r="E8" s="25"/>
      <c r="F8" s="25"/>
      <c r="G8" s="25"/>
      <c r="H8" s="25"/>
      <c r="I8" s="25"/>
      <c r="J8" s="25"/>
      <c r="K8" s="25"/>
    </row>
    <row r="9" spans="1:11" ht="13.2" x14ac:dyDescent="0.25">
      <c r="A9" s="2">
        <v>1</v>
      </c>
      <c r="B9" s="219" t="s">
        <v>469</v>
      </c>
      <c r="C9" s="220"/>
      <c r="D9" s="221"/>
      <c r="E9" s="221"/>
      <c r="F9" s="222"/>
      <c r="G9" s="220"/>
      <c r="H9" s="223"/>
      <c r="I9" s="223"/>
      <c r="J9" s="223"/>
      <c r="K9" s="223"/>
    </row>
    <row r="10" spans="1:11" ht="13.2" x14ac:dyDescent="0.25">
      <c r="A10" s="2">
        <f>A9+1</f>
        <v>2</v>
      </c>
      <c r="B10" s="224" t="s">
        <v>1207</v>
      </c>
      <c r="C10" s="940">
        <v>0</v>
      </c>
      <c r="D10" s="940">
        <v>0</v>
      </c>
      <c r="E10" s="940">
        <v>0</v>
      </c>
      <c r="F10" s="225"/>
      <c r="G10" s="932">
        <v>0</v>
      </c>
      <c r="H10" s="932">
        <v>0</v>
      </c>
      <c r="I10" s="932">
        <v>0</v>
      </c>
      <c r="J10" s="932">
        <v>0</v>
      </c>
      <c r="K10" s="932">
        <v>0</v>
      </c>
    </row>
    <row r="11" spans="1:11" ht="15" x14ac:dyDescent="0.4">
      <c r="A11" s="2">
        <f t="shared" ref="A11:A47" si="0">A10+1</f>
        <v>3</v>
      </c>
      <c r="B11" s="224" t="s">
        <v>461</v>
      </c>
      <c r="C11" s="941">
        <v>0</v>
      </c>
      <c r="D11" s="941">
        <v>0</v>
      </c>
      <c r="E11" s="941">
        <v>0</v>
      </c>
      <c r="F11" s="226"/>
      <c r="G11" s="933">
        <v>0</v>
      </c>
      <c r="H11" s="933">
        <v>0</v>
      </c>
      <c r="I11" s="933">
        <v>0</v>
      </c>
      <c r="J11" s="933">
        <v>0</v>
      </c>
      <c r="K11" s="933">
        <v>0</v>
      </c>
    </row>
    <row r="12" spans="1:11" ht="13.2" x14ac:dyDescent="0.25">
      <c r="A12" s="2">
        <f t="shared" si="0"/>
        <v>4</v>
      </c>
      <c r="B12" s="878" t="s">
        <v>1752</v>
      </c>
      <c r="C12" s="940">
        <v>0</v>
      </c>
      <c r="D12" s="940">
        <v>0</v>
      </c>
      <c r="E12" s="940">
        <v>0</v>
      </c>
      <c r="F12" s="227"/>
      <c r="G12" s="940">
        <v>0</v>
      </c>
      <c r="H12" s="940">
        <v>0</v>
      </c>
      <c r="I12" s="940">
        <v>0</v>
      </c>
      <c r="J12" s="940">
        <v>0</v>
      </c>
      <c r="K12" s="940">
        <v>0</v>
      </c>
    </row>
    <row r="13" spans="1:11" ht="13.2" x14ac:dyDescent="0.25">
      <c r="A13" s="2">
        <f t="shared" si="0"/>
        <v>5</v>
      </c>
      <c r="B13" s="228"/>
      <c r="C13" s="229"/>
      <c r="D13" s="229"/>
      <c r="E13" s="229"/>
      <c r="F13" s="230"/>
      <c r="G13" s="229"/>
      <c r="H13" s="231"/>
      <c r="I13" s="232"/>
      <c r="J13" s="231"/>
      <c r="K13" s="231"/>
    </row>
    <row r="14" spans="1:11" ht="13.2" x14ac:dyDescent="0.25">
      <c r="A14" s="2">
        <f t="shared" si="0"/>
        <v>6</v>
      </c>
      <c r="B14" s="233" t="s">
        <v>458</v>
      </c>
      <c r="C14" s="229"/>
      <c r="D14" s="229"/>
      <c r="E14" s="229"/>
      <c r="F14" s="230"/>
      <c r="G14" s="229"/>
      <c r="H14" s="231"/>
      <c r="I14" s="232"/>
      <c r="J14" s="231"/>
      <c r="K14" s="231"/>
    </row>
    <row r="15" spans="1:11" ht="13.2" x14ac:dyDescent="0.25">
      <c r="A15" s="2">
        <f t="shared" si="0"/>
        <v>7</v>
      </c>
      <c r="B15" s="234" t="s">
        <v>468</v>
      </c>
      <c r="C15" s="940">
        <v>0</v>
      </c>
      <c r="D15" s="940">
        <v>0</v>
      </c>
      <c r="E15" s="940">
        <v>0</v>
      </c>
      <c r="F15" s="235"/>
      <c r="G15" s="932">
        <v>0</v>
      </c>
      <c r="H15" s="932">
        <v>0</v>
      </c>
      <c r="I15" s="932">
        <v>0</v>
      </c>
      <c r="J15" s="932">
        <v>0</v>
      </c>
      <c r="K15" s="932">
        <v>0</v>
      </c>
    </row>
    <row r="16" spans="1:11" ht="13.2" x14ac:dyDescent="0.25">
      <c r="A16" s="2">
        <f t="shared" si="0"/>
        <v>8</v>
      </c>
      <c r="B16" s="843" t="s">
        <v>2207</v>
      </c>
      <c r="C16" s="940">
        <v>0</v>
      </c>
      <c r="D16" s="940">
        <v>0</v>
      </c>
      <c r="E16" s="940">
        <v>0</v>
      </c>
      <c r="F16" s="230"/>
      <c r="G16" s="932">
        <v>0</v>
      </c>
      <c r="H16" s="932">
        <v>0</v>
      </c>
      <c r="I16" s="932">
        <v>0</v>
      </c>
      <c r="J16" s="932">
        <v>0</v>
      </c>
      <c r="K16" s="932">
        <v>0</v>
      </c>
    </row>
    <row r="17" spans="1:11" ht="15" x14ac:dyDescent="0.4">
      <c r="A17" s="2">
        <f t="shared" si="0"/>
        <v>9</v>
      </c>
      <c r="B17" s="976" t="s">
        <v>2218</v>
      </c>
      <c r="C17" s="941">
        <v>0</v>
      </c>
      <c r="D17" s="941">
        <v>0</v>
      </c>
      <c r="E17" s="941">
        <v>0</v>
      </c>
      <c r="F17" s="236"/>
      <c r="G17" s="933">
        <v>0</v>
      </c>
      <c r="H17" s="933">
        <v>0</v>
      </c>
      <c r="I17" s="933">
        <v>0</v>
      </c>
      <c r="J17" s="933">
        <v>0</v>
      </c>
      <c r="K17" s="933">
        <v>0</v>
      </c>
    </row>
    <row r="18" spans="1:11" ht="13.2" x14ac:dyDescent="0.25">
      <c r="A18" s="2">
        <f t="shared" si="0"/>
        <v>10</v>
      </c>
      <c r="B18" s="879" t="s">
        <v>1844</v>
      </c>
      <c r="C18" s="940">
        <v>0</v>
      </c>
      <c r="D18" s="940">
        <v>0</v>
      </c>
      <c r="E18" s="940">
        <v>0</v>
      </c>
      <c r="F18" s="238"/>
      <c r="G18" s="940">
        <v>0</v>
      </c>
      <c r="H18" s="940">
        <v>0</v>
      </c>
      <c r="I18" s="940">
        <v>0</v>
      </c>
      <c r="J18" s="940">
        <v>0</v>
      </c>
      <c r="K18" s="940">
        <v>0</v>
      </c>
    </row>
    <row r="19" spans="1:11" ht="13.2" x14ac:dyDescent="0.25">
      <c r="A19" s="2">
        <f t="shared" si="0"/>
        <v>11</v>
      </c>
      <c r="B19" s="16"/>
      <c r="C19" s="239"/>
      <c r="D19" s="239"/>
      <c r="E19" s="239"/>
      <c r="F19" s="240"/>
      <c r="G19" s="239"/>
      <c r="H19" s="239"/>
      <c r="I19" s="239"/>
      <c r="J19" s="239"/>
      <c r="K19" s="239"/>
    </row>
    <row r="20" spans="1:11" ht="13.2" x14ac:dyDescent="0.25">
      <c r="A20" s="2">
        <f t="shared" si="0"/>
        <v>12</v>
      </c>
      <c r="B20" s="237" t="s">
        <v>459</v>
      </c>
      <c r="C20" s="940">
        <v>0</v>
      </c>
      <c r="D20" s="940">
        <v>0</v>
      </c>
      <c r="E20" s="940">
        <v>0</v>
      </c>
      <c r="F20" s="241"/>
      <c r="G20" s="940">
        <v>0</v>
      </c>
      <c r="H20" s="940">
        <v>0</v>
      </c>
      <c r="I20" s="940">
        <v>0</v>
      </c>
      <c r="J20" s="940">
        <v>0</v>
      </c>
      <c r="K20" s="940">
        <v>0</v>
      </c>
    </row>
    <row r="21" spans="1:11" ht="13.2" x14ac:dyDescent="0.25">
      <c r="A21" s="2">
        <f t="shared" si="0"/>
        <v>13</v>
      </c>
      <c r="B21" s="16"/>
      <c r="C21" s="242"/>
      <c r="D21" s="243"/>
      <c r="E21" s="242"/>
      <c r="F21" s="16"/>
      <c r="G21" s="242"/>
      <c r="H21" s="242"/>
      <c r="I21" s="242"/>
      <c r="J21" s="242"/>
      <c r="K21" s="242"/>
    </row>
    <row r="22" spans="1:11" ht="13.2" x14ac:dyDescent="0.25">
      <c r="A22" s="2">
        <f t="shared" si="0"/>
        <v>14</v>
      </c>
      <c r="B22" s="16"/>
      <c r="C22" s="242"/>
      <c r="D22" s="243"/>
      <c r="E22" s="242"/>
      <c r="F22" s="16"/>
      <c r="G22" s="242"/>
      <c r="H22" s="242"/>
      <c r="I22" s="242"/>
      <c r="J22" s="242"/>
      <c r="K22" s="242"/>
    </row>
    <row r="23" spans="1:11" ht="13.2" x14ac:dyDescent="0.25">
      <c r="A23" s="2">
        <f t="shared" si="0"/>
        <v>15</v>
      </c>
      <c r="B23" s="456" t="s">
        <v>2208</v>
      </c>
      <c r="C23" s="242"/>
      <c r="D23" s="243"/>
      <c r="E23" s="242"/>
      <c r="F23" s="16"/>
      <c r="G23" s="242"/>
      <c r="H23" s="242"/>
      <c r="I23" s="242"/>
      <c r="J23" s="242"/>
      <c r="K23" s="242"/>
    </row>
    <row r="24" spans="1:11" ht="13.2" x14ac:dyDescent="0.25">
      <c r="A24" s="2">
        <f t="shared" si="0"/>
        <v>16</v>
      </c>
      <c r="B24" s="16"/>
      <c r="C24" s="244" t="s">
        <v>472</v>
      </c>
      <c r="D24" s="23" t="s">
        <v>473</v>
      </c>
      <c r="E24" s="23"/>
      <c r="F24" s="16"/>
      <c r="G24" s="16"/>
      <c r="H24" s="16"/>
      <c r="I24" s="16"/>
      <c r="J24" s="16"/>
      <c r="K24" s="16"/>
    </row>
    <row r="25" spans="1:11" ht="13.2" x14ac:dyDescent="0.25">
      <c r="A25" s="2">
        <f t="shared" si="0"/>
        <v>17</v>
      </c>
      <c r="B25" s="16" t="s">
        <v>331</v>
      </c>
      <c r="C25" s="25" t="s">
        <v>471</v>
      </c>
      <c r="D25" s="25" t="s">
        <v>471</v>
      </c>
      <c r="E25" s="25" t="s">
        <v>197</v>
      </c>
      <c r="F25" s="16"/>
      <c r="G25" s="245" t="s">
        <v>233</v>
      </c>
      <c r="H25" s="16"/>
      <c r="I25" s="16"/>
      <c r="J25" s="16"/>
      <c r="K25" s="16"/>
    </row>
    <row r="26" spans="1:11" ht="13.2" x14ac:dyDescent="0.25">
      <c r="A26" s="2">
        <f t="shared" si="0"/>
        <v>18</v>
      </c>
      <c r="B26" s="70" t="s">
        <v>425</v>
      </c>
      <c r="C26" s="940">
        <v>0</v>
      </c>
      <c r="D26" s="940">
        <v>0</v>
      </c>
      <c r="E26" s="940">
        <v>0</v>
      </c>
      <c r="F26" s="16"/>
      <c r="G26" s="16" t="s">
        <v>477</v>
      </c>
      <c r="H26" s="16"/>
      <c r="I26" s="16"/>
      <c r="J26" s="16"/>
      <c r="K26" s="16"/>
    </row>
    <row r="27" spans="1:11" ht="13.2" x14ac:dyDescent="0.25">
      <c r="A27" s="2">
        <f t="shared" si="0"/>
        <v>19</v>
      </c>
      <c r="B27" s="70" t="s">
        <v>457</v>
      </c>
      <c r="C27" s="940">
        <v>0</v>
      </c>
      <c r="D27" s="940">
        <v>0</v>
      </c>
      <c r="E27" s="940">
        <v>0</v>
      </c>
      <c r="F27" s="16"/>
      <c r="G27" s="16" t="s">
        <v>477</v>
      </c>
      <c r="H27" s="16"/>
      <c r="I27" s="16"/>
      <c r="J27" s="16"/>
      <c r="K27" s="16"/>
    </row>
    <row r="28" spans="1:11" ht="13.2" x14ac:dyDescent="0.25">
      <c r="A28" s="2">
        <f t="shared" si="0"/>
        <v>20</v>
      </c>
      <c r="B28" s="26" t="s">
        <v>475</v>
      </c>
      <c r="C28" s="940">
        <v>0</v>
      </c>
      <c r="D28" s="940">
        <v>0</v>
      </c>
      <c r="E28" s="940">
        <v>0</v>
      </c>
      <c r="F28" s="16"/>
      <c r="G28" s="16" t="s">
        <v>478</v>
      </c>
      <c r="H28" s="16"/>
      <c r="I28" s="16"/>
      <c r="J28" s="16"/>
      <c r="K28" s="16"/>
    </row>
    <row r="29" spans="1:11" ht="13.2" x14ac:dyDescent="0.25">
      <c r="A29" s="2">
        <f t="shared" si="0"/>
        <v>21</v>
      </c>
      <c r="B29" s="246" t="s">
        <v>474</v>
      </c>
      <c r="C29" s="926" t="s">
        <v>2193</v>
      </c>
      <c r="D29" s="926" t="s">
        <v>2193</v>
      </c>
      <c r="E29" s="247"/>
      <c r="F29" s="248"/>
      <c r="G29" s="249" t="s">
        <v>479</v>
      </c>
      <c r="H29" s="16"/>
      <c r="I29" s="16"/>
      <c r="J29" s="16"/>
      <c r="K29" s="248"/>
    </row>
    <row r="30" spans="1:11" ht="13.2" x14ac:dyDescent="0.25">
      <c r="A30" s="2">
        <f t="shared" si="0"/>
        <v>22</v>
      </c>
      <c r="B30" s="250"/>
      <c r="C30" s="251"/>
      <c r="D30" s="251"/>
      <c r="E30" s="251"/>
      <c r="F30" s="17"/>
      <c r="G30" s="17"/>
      <c r="H30" s="17"/>
      <c r="I30" s="17"/>
      <c r="J30" s="17"/>
      <c r="K30" s="17"/>
    </row>
    <row r="31" spans="1:11" ht="13.2" x14ac:dyDescent="0.25">
      <c r="A31" s="94">
        <f t="shared" si="0"/>
        <v>23</v>
      </c>
      <c r="B31" s="228" t="s">
        <v>476</v>
      </c>
      <c r="C31" s="940">
        <v>0</v>
      </c>
      <c r="D31" s="940">
        <v>0</v>
      </c>
      <c r="E31" s="940">
        <v>0</v>
      </c>
      <c r="F31" s="228"/>
      <c r="G31" s="454" t="str">
        <f>"Straddling Transformers split by Gross Plant Percentages on Line "&amp;A29&amp;""</f>
        <v>Straddling Transformers split by Gross Plant Percentages on Line 21</v>
      </c>
      <c r="H31" s="228"/>
      <c r="I31" s="228"/>
      <c r="J31" s="228"/>
      <c r="K31" s="16"/>
    </row>
    <row r="32" spans="1:11" x14ac:dyDescent="0.3">
      <c r="A32" s="94">
        <f t="shared" si="0"/>
        <v>24</v>
      </c>
      <c r="B32" s="587" t="s">
        <v>2374</v>
      </c>
      <c r="C32" s="940">
        <v>0</v>
      </c>
      <c r="D32" s="940">
        <v>0</v>
      </c>
      <c r="E32" s="940">
        <v>0</v>
      </c>
      <c r="F32" s="587"/>
      <c r="G32" s="587" t="s">
        <v>2375</v>
      </c>
      <c r="H32" s="871"/>
      <c r="I32" s="228"/>
      <c r="J32" s="228"/>
      <c r="K32" s="16"/>
    </row>
    <row r="33" spans="1:11" ht="13.2" x14ac:dyDescent="0.25">
      <c r="A33" s="94">
        <f t="shared" si="0"/>
        <v>25</v>
      </c>
      <c r="B33" s="228" t="s">
        <v>480</v>
      </c>
      <c r="C33" s="940">
        <v>0</v>
      </c>
      <c r="D33" s="940">
        <v>0</v>
      </c>
      <c r="E33" s="940">
        <v>0</v>
      </c>
      <c r="F33" s="228"/>
      <c r="G33" s="587" t="str">
        <f>"Line "&amp;A28&amp;" + Line "&amp;A31&amp;" + Line "&amp;A32&amp;""</f>
        <v>Line 20 + Line 23 + Line 24</v>
      </c>
      <c r="H33" s="587"/>
      <c r="I33" s="228"/>
      <c r="J33" s="228"/>
      <c r="K33" s="16"/>
    </row>
    <row r="34" spans="1:11" ht="13.2" x14ac:dyDescent="0.25">
      <c r="A34" s="94">
        <f t="shared" si="0"/>
        <v>26</v>
      </c>
      <c r="B34" s="228"/>
      <c r="C34" s="252"/>
      <c r="D34" s="252"/>
      <c r="E34" s="872"/>
      <c r="F34" s="228"/>
      <c r="G34" s="228"/>
      <c r="H34" s="228"/>
      <c r="I34" s="228"/>
      <c r="J34" s="228"/>
      <c r="K34" s="16"/>
    </row>
    <row r="35" spans="1:11" ht="13.2" x14ac:dyDescent="0.25">
      <c r="A35" s="94">
        <f t="shared" si="0"/>
        <v>27</v>
      </c>
      <c r="B35" s="228"/>
      <c r="C35" s="873"/>
      <c r="D35" s="873"/>
      <c r="E35" s="228"/>
      <c r="F35" s="228"/>
      <c r="G35" s="873"/>
      <c r="H35" s="873"/>
      <c r="I35" s="873"/>
      <c r="J35" s="228"/>
      <c r="K35" s="16"/>
    </row>
    <row r="36" spans="1:11" ht="13.2" x14ac:dyDescent="0.25">
      <c r="A36" s="94">
        <f t="shared" si="0"/>
        <v>28</v>
      </c>
      <c r="B36" s="233" t="s">
        <v>2378</v>
      </c>
      <c r="C36" s="228"/>
      <c r="D36" s="228"/>
      <c r="E36" s="228"/>
      <c r="F36" s="228"/>
      <c r="G36" s="228"/>
      <c r="H36" s="228"/>
      <c r="I36" s="228"/>
      <c r="J36" s="228"/>
      <c r="K36" s="16"/>
    </row>
    <row r="37" spans="1:11" ht="13.2" x14ac:dyDescent="0.25">
      <c r="A37" s="94">
        <f t="shared" si="0"/>
        <v>29</v>
      </c>
      <c r="B37" s="233"/>
      <c r="C37" s="228"/>
      <c r="D37" s="228"/>
      <c r="E37" s="228"/>
      <c r="F37" s="228"/>
      <c r="G37" s="228"/>
      <c r="H37" s="228"/>
      <c r="I37" s="228"/>
      <c r="J37" s="228"/>
      <c r="K37" s="16"/>
    </row>
    <row r="38" spans="1:11" ht="13.2" x14ac:dyDescent="0.25">
      <c r="A38" s="94">
        <f t="shared" si="0"/>
        <v>30</v>
      </c>
      <c r="B38" s="233"/>
      <c r="C38" s="874" t="s">
        <v>472</v>
      </c>
      <c r="D38" s="392" t="s">
        <v>473</v>
      </c>
      <c r="E38" s="392"/>
      <c r="F38" s="228"/>
      <c r="G38" s="228"/>
      <c r="H38" s="228"/>
      <c r="I38" s="228"/>
      <c r="J38" s="228"/>
      <c r="K38" s="16"/>
    </row>
    <row r="39" spans="1:11" ht="13.2" x14ac:dyDescent="0.25">
      <c r="A39" s="94">
        <f t="shared" si="0"/>
        <v>31</v>
      </c>
      <c r="B39" s="233"/>
      <c r="C39" s="435" t="s">
        <v>471</v>
      </c>
      <c r="D39" s="435" t="s">
        <v>471</v>
      </c>
      <c r="E39" s="435" t="s">
        <v>197</v>
      </c>
      <c r="F39" s="228"/>
      <c r="G39" s="875" t="s">
        <v>233</v>
      </c>
      <c r="H39" s="228"/>
      <c r="I39" s="228"/>
      <c r="J39" s="228"/>
      <c r="K39" s="16"/>
    </row>
    <row r="40" spans="1:11" ht="13.2" x14ac:dyDescent="0.25">
      <c r="A40" s="94">
        <f t="shared" si="0"/>
        <v>32</v>
      </c>
      <c r="B40" s="228" t="s">
        <v>480</v>
      </c>
      <c r="C40" s="940">
        <v>0</v>
      </c>
      <c r="D40" s="940">
        <v>0</v>
      </c>
      <c r="E40" s="940">
        <v>0</v>
      </c>
      <c r="F40" s="228"/>
      <c r="G40" s="228" t="str">
        <f>"Line "&amp;A33&amp;""</f>
        <v>Line 25</v>
      </c>
      <c r="H40" s="228"/>
      <c r="I40" s="228"/>
      <c r="J40" s="228"/>
      <c r="K40" s="16"/>
    </row>
    <row r="41" spans="1:11" ht="13.2" x14ac:dyDescent="0.25">
      <c r="A41" s="94">
        <f t="shared" si="0"/>
        <v>33</v>
      </c>
      <c r="B41" s="454" t="s">
        <v>2379</v>
      </c>
      <c r="C41" s="940">
        <v>0</v>
      </c>
      <c r="D41" s="940">
        <v>0</v>
      </c>
      <c r="E41" s="940">
        <v>0</v>
      </c>
      <c r="F41" s="228"/>
      <c r="G41" s="228" t="str">
        <f>"13-Month Average: 16-PlantAdditions, Line "&amp;'16-PlantAdditions'!A37&amp;", Cols 7  (for Total) and 12 (for LV).  HV = C7 - C12."</f>
        <v>13-Month Average: 16-PlantAdditions, Line 25, Cols 7  (for Total) and 12 (for LV).  HV = C7 - C12.</v>
      </c>
      <c r="H41" s="228"/>
      <c r="I41" s="228"/>
      <c r="J41" s="228"/>
      <c r="K41" s="16"/>
    </row>
    <row r="42" spans="1:11" ht="15" x14ac:dyDescent="0.4">
      <c r="A42" s="94">
        <f t="shared" si="0"/>
        <v>34</v>
      </c>
      <c r="B42" s="454" t="s">
        <v>2376</v>
      </c>
      <c r="C42" s="941">
        <v>0</v>
      </c>
      <c r="D42" s="941">
        <v>0</v>
      </c>
      <c r="E42" s="941">
        <v>0</v>
      </c>
      <c r="F42" s="228"/>
      <c r="G42" s="228" t="str">
        <f>"13 Month Average: 10-CWIP, Line "&amp;'10-CWIP'!A79&amp;", Col. 8"</f>
        <v>13 Month Average: 10-CWIP, Line 54, Col. 8</v>
      </c>
      <c r="H42" s="228"/>
      <c r="I42" s="228"/>
      <c r="J42" s="228"/>
      <c r="K42" s="16"/>
    </row>
    <row r="43" spans="1:11" ht="13.2" x14ac:dyDescent="0.25">
      <c r="A43" s="94">
        <f t="shared" si="0"/>
        <v>35</v>
      </c>
      <c r="B43" s="454" t="s">
        <v>2377</v>
      </c>
      <c r="C43" s="940">
        <v>0</v>
      </c>
      <c r="D43" s="940">
        <v>0</v>
      </c>
      <c r="E43" s="940">
        <v>0</v>
      </c>
      <c r="F43" s="228"/>
      <c r="G43" s="228" t="str">
        <f>"Line "&amp;A40&amp;" + Line "&amp;A41&amp;" + Line "&amp;A42&amp;""</f>
        <v>Line 32 + Line 33 + Line 34</v>
      </c>
      <c r="H43" s="228"/>
      <c r="I43" s="228"/>
      <c r="J43" s="228"/>
      <c r="K43" s="16"/>
    </row>
    <row r="44" spans="1:11" ht="13.2" x14ac:dyDescent="0.25">
      <c r="A44" s="94">
        <f t="shared" si="0"/>
        <v>36</v>
      </c>
      <c r="B44" s="228"/>
      <c r="C44" s="228"/>
      <c r="D44" s="228"/>
      <c r="E44" s="228"/>
      <c r="F44" s="228"/>
      <c r="G44" s="228"/>
      <c r="H44" s="228"/>
      <c r="I44" s="228"/>
      <c r="J44" s="228"/>
      <c r="K44" s="16"/>
    </row>
    <row r="45" spans="1:11" ht="13.2" x14ac:dyDescent="0.25">
      <c r="A45" s="94">
        <f t="shared" si="0"/>
        <v>37</v>
      </c>
      <c r="B45" s="228" t="s">
        <v>1135</v>
      </c>
      <c r="C45" s="926" t="s">
        <v>2193</v>
      </c>
      <c r="D45" s="926" t="s">
        <v>2193</v>
      </c>
      <c r="E45" s="228"/>
      <c r="F45" s="228"/>
      <c r="G45" s="876" t="str">
        <f>"Percent of Total on Line "&amp;A43&amp;""</f>
        <v>Percent of Total on Line 35</v>
      </c>
      <c r="H45" s="228"/>
      <c r="I45" s="228"/>
      <c r="J45" s="228"/>
      <c r="K45" s="16"/>
    </row>
    <row r="46" spans="1:11" ht="13.2" x14ac:dyDescent="0.25">
      <c r="A46" s="94">
        <f t="shared" si="0"/>
        <v>38</v>
      </c>
      <c r="B46" s="877" t="s">
        <v>1469</v>
      </c>
      <c r="C46" s="228"/>
      <c r="D46" s="228"/>
      <c r="E46" s="228"/>
      <c r="F46" s="228"/>
      <c r="G46" s="228"/>
      <c r="H46" s="228"/>
      <c r="I46" s="228"/>
      <c r="J46" s="228"/>
      <c r="K46" s="16"/>
    </row>
    <row r="47" spans="1:11" ht="13.2" x14ac:dyDescent="0.25">
      <c r="A47" s="94">
        <f t="shared" si="0"/>
        <v>39</v>
      </c>
      <c r="B47" s="454" t="s">
        <v>1627</v>
      </c>
      <c r="C47" s="228"/>
      <c r="D47" s="228"/>
      <c r="E47" s="228"/>
      <c r="F47" s="228"/>
      <c r="G47" s="228"/>
      <c r="H47" s="228"/>
      <c r="I47" s="228"/>
      <c r="J47" s="228"/>
      <c r="K47" s="16"/>
    </row>
    <row r="48" spans="1:11" ht="13.2" x14ac:dyDescent="0.25">
      <c r="A48" s="11"/>
      <c r="B48" s="1"/>
      <c r="C48" s="16"/>
      <c r="D48" s="16"/>
      <c r="E48" s="16"/>
      <c r="F48" s="16"/>
      <c r="G48" s="16"/>
      <c r="H48" s="16"/>
      <c r="I48" s="16"/>
      <c r="J48" s="16"/>
      <c r="K48" s="16"/>
    </row>
    <row r="49" spans="1:11" ht="13.2" x14ac:dyDescent="0.25">
      <c r="A49" s="11"/>
      <c r="B49" s="38"/>
      <c r="C49" s="587"/>
      <c r="D49" s="587"/>
      <c r="E49" s="587"/>
      <c r="F49" s="587"/>
      <c r="G49" s="587"/>
      <c r="H49" s="587"/>
      <c r="I49" s="16"/>
      <c r="J49" s="16"/>
      <c r="K49" s="16"/>
    </row>
    <row r="50" spans="1:11" ht="13.2" x14ac:dyDescent="0.25">
      <c r="A50" s="11"/>
      <c r="B50" s="587"/>
      <c r="C50" s="587"/>
      <c r="D50" s="587"/>
      <c r="E50" s="587"/>
      <c r="F50" s="587"/>
      <c r="G50" s="587"/>
      <c r="H50" s="587"/>
      <c r="I50" s="16"/>
      <c r="J50" s="16"/>
      <c r="K50" s="16"/>
    </row>
    <row r="51" spans="1:11" x14ac:dyDescent="0.3">
      <c r="B51" s="587"/>
      <c r="C51" s="871"/>
      <c r="D51" s="871"/>
      <c r="E51" s="871"/>
      <c r="F51" s="871"/>
      <c r="G51" s="871"/>
      <c r="H51" s="871"/>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1638</v>
      </c>
    </row>
    <row r="3" spans="1:8" x14ac:dyDescent="0.25">
      <c r="G3" s="2"/>
    </row>
    <row r="4" spans="1:8" x14ac:dyDescent="0.25">
      <c r="A4" s="3" t="s">
        <v>332</v>
      </c>
      <c r="F4" s="3" t="s">
        <v>285</v>
      </c>
      <c r="G4" s="3" t="s">
        <v>155</v>
      </c>
      <c r="H4" s="44" t="s">
        <v>180</v>
      </c>
    </row>
    <row r="5" spans="1:8" x14ac:dyDescent="0.25">
      <c r="A5" s="2">
        <v>1</v>
      </c>
      <c r="B5" s="443" t="s">
        <v>338</v>
      </c>
      <c r="F5" s="955" t="s">
        <v>77</v>
      </c>
      <c r="G5" s="15"/>
      <c r="H5" t="s">
        <v>364</v>
      </c>
    </row>
    <row r="6" spans="1:8" x14ac:dyDescent="0.25">
      <c r="A6" s="2">
        <v>2</v>
      </c>
      <c r="B6" s="11" t="s">
        <v>339</v>
      </c>
      <c r="F6" s="957" t="s">
        <v>77</v>
      </c>
      <c r="G6" s="15"/>
      <c r="H6" t="s">
        <v>365</v>
      </c>
    </row>
    <row r="7" spans="1:8" x14ac:dyDescent="0.25">
      <c r="A7" s="2">
        <v>3</v>
      </c>
      <c r="B7" s="43" t="s">
        <v>327</v>
      </c>
      <c r="F7" s="956" t="s">
        <v>77</v>
      </c>
      <c r="G7" s="12" t="s">
        <v>340</v>
      </c>
      <c r="H7" s="11" t="s">
        <v>328</v>
      </c>
    </row>
    <row r="8" spans="1:8" x14ac:dyDescent="0.25">
      <c r="A8" s="2"/>
      <c r="F8" s="462"/>
      <c r="G8" s="15"/>
    </row>
    <row r="9" spans="1:8" x14ac:dyDescent="0.25">
      <c r="A9" s="2"/>
      <c r="F9" s="462"/>
      <c r="G9" s="15"/>
    </row>
    <row r="10" spans="1:8" x14ac:dyDescent="0.25">
      <c r="A10" s="2">
        <v>4</v>
      </c>
      <c r="B10" s="445" t="s">
        <v>2190</v>
      </c>
      <c r="C10" s="13"/>
      <c r="D10" s="13"/>
      <c r="E10" s="30"/>
      <c r="F10" s="955" t="s">
        <v>77</v>
      </c>
      <c r="G10" s="15"/>
      <c r="H10" s="11" t="s">
        <v>364</v>
      </c>
    </row>
    <row r="13" spans="1:8" x14ac:dyDescent="0.25">
      <c r="B13" s="44" t="s">
        <v>233</v>
      </c>
    </row>
    <row r="14" spans="1:8" x14ac:dyDescent="0.25">
      <c r="B14" s="11" t="s">
        <v>1234</v>
      </c>
    </row>
    <row r="15" spans="1:8" x14ac:dyDescent="0.25">
      <c r="B15" s="11" t="s">
        <v>1235</v>
      </c>
    </row>
    <row r="16" spans="1:8" x14ac:dyDescent="0.25">
      <c r="B16" s="445" t="s">
        <v>1864</v>
      </c>
      <c r="C16" s="13"/>
      <c r="D16" s="13"/>
      <c r="E16" s="13"/>
      <c r="F16" s="13"/>
      <c r="G16" s="13"/>
      <c r="H16" s="13"/>
    </row>
    <row r="18" spans="2:2" ht="15.6" x14ac:dyDescent="0.3">
      <c r="B18" s="568"/>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04" customWidth="1"/>
    <col min="2" max="2" width="18.5546875" style="704" customWidth="1"/>
    <col min="3" max="12" width="15.77734375" style="704" customWidth="1"/>
    <col min="13" max="13" width="15.77734375" style="703" customWidth="1"/>
    <col min="14" max="14" width="15.77734375" style="704" customWidth="1"/>
    <col min="15" max="16384" width="9.109375" style="704"/>
  </cols>
  <sheetData>
    <row r="1" spans="1:16" ht="15.6" x14ac:dyDescent="0.3">
      <c r="A1" s="700" t="s">
        <v>374</v>
      </c>
      <c r="B1" s="701"/>
      <c r="C1" s="701"/>
      <c r="D1" s="701"/>
      <c r="E1" s="701"/>
      <c r="F1" s="701"/>
      <c r="G1" s="701"/>
      <c r="H1" s="701"/>
      <c r="I1" s="701"/>
      <c r="J1" s="701"/>
      <c r="K1" s="702"/>
      <c r="L1" s="702"/>
    </row>
    <row r="2" spans="1:16" ht="14.25" customHeight="1" x14ac:dyDescent="0.3">
      <c r="A2" s="700"/>
      <c r="B2" s="701"/>
      <c r="C2" s="701"/>
      <c r="D2" s="701"/>
      <c r="E2" s="701"/>
      <c r="F2" s="701"/>
      <c r="G2" s="701"/>
      <c r="H2" s="701"/>
      <c r="I2" s="701"/>
      <c r="J2" s="701"/>
      <c r="K2" s="702"/>
      <c r="L2" s="702"/>
    </row>
    <row r="3" spans="1:16" x14ac:dyDescent="0.25">
      <c r="E3" s="705" t="s">
        <v>180</v>
      </c>
      <c r="K3" s="706"/>
      <c r="L3" s="706"/>
    </row>
    <row r="4" spans="1:16" x14ac:dyDescent="0.25">
      <c r="C4" s="707" t="s">
        <v>1165</v>
      </c>
      <c r="D4" s="940">
        <v>0</v>
      </c>
      <c r="E4" s="708" t="s">
        <v>2228</v>
      </c>
      <c r="G4" s="709" t="s">
        <v>452</v>
      </c>
      <c r="H4" s="710"/>
      <c r="J4" s="711"/>
      <c r="K4" s="706"/>
      <c r="L4" s="706"/>
    </row>
    <row r="5" spans="1:16" x14ac:dyDescent="0.25">
      <c r="C5" s="707"/>
      <c r="D5" s="712"/>
      <c r="E5" s="708"/>
      <c r="K5" s="706"/>
      <c r="L5" s="706"/>
    </row>
    <row r="6" spans="1:16" ht="15.6" x14ac:dyDescent="0.3">
      <c r="B6" s="700" t="s">
        <v>1166</v>
      </c>
      <c r="D6" s="707"/>
      <c r="E6" s="712"/>
      <c r="F6" s="708"/>
      <c r="K6" s="706"/>
      <c r="L6" s="706"/>
    </row>
    <row r="7" spans="1:16" x14ac:dyDescent="0.25">
      <c r="C7" s="713" t="s">
        <v>363</v>
      </c>
      <c r="D7" s="713" t="s">
        <v>347</v>
      </c>
      <c r="E7" s="713" t="s">
        <v>348</v>
      </c>
      <c r="F7" s="781" t="s">
        <v>349</v>
      </c>
      <c r="G7" s="781" t="s">
        <v>350</v>
      </c>
      <c r="H7" s="781" t="s">
        <v>351</v>
      </c>
      <c r="I7" s="781" t="s">
        <v>352</v>
      </c>
      <c r="J7" s="781" t="s">
        <v>541</v>
      </c>
      <c r="K7" s="781" t="s">
        <v>955</v>
      </c>
      <c r="L7" s="781" t="s">
        <v>967</v>
      </c>
      <c r="M7" s="781" t="s">
        <v>970</v>
      </c>
      <c r="N7" s="705" t="s">
        <v>988</v>
      </c>
      <c r="O7" s="705" t="s">
        <v>1476</v>
      </c>
      <c r="P7" s="705" t="s">
        <v>1477</v>
      </c>
    </row>
    <row r="8" spans="1:16" x14ac:dyDescent="0.25">
      <c r="C8" s="764" t="s">
        <v>364</v>
      </c>
      <c r="D8" s="711"/>
      <c r="E8" s="764" t="s">
        <v>365</v>
      </c>
      <c r="F8" s="764" t="s">
        <v>1167</v>
      </c>
      <c r="G8" s="764" t="s">
        <v>1182</v>
      </c>
      <c r="H8" s="764" t="s">
        <v>1184</v>
      </c>
      <c r="I8" s="764" t="s">
        <v>1185</v>
      </c>
      <c r="J8" s="764" t="s">
        <v>1186</v>
      </c>
      <c r="K8" s="711"/>
      <c r="L8" s="711"/>
    </row>
    <row r="9" spans="1:16" s="717" customFormat="1" x14ac:dyDescent="0.25">
      <c r="A9" s="715"/>
      <c r="B9" s="715"/>
      <c r="C9" s="713"/>
      <c r="D9" s="716"/>
      <c r="E9" s="1215" t="s">
        <v>2117</v>
      </c>
      <c r="F9" s="1216"/>
      <c r="G9" s="1216"/>
      <c r="H9" s="1217"/>
      <c r="I9" s="1218"/>
      <c r="J9" s="978"/>
      <c r="K9" s="978"/>
      <c r="L9" s="764" t="s">
        <v>2237</v>
      </c>
      <c r="M9" s="764" t="s">
        <v>2237</v>
      </c>
      <c r="N9" s="764" t="s">
        <v>2237</v>
      </c>
    </row>
    <row r="10" spans="1:16" s="722" customFormat="1" ht="53.25" customHeight="1" x14ac:dyDescent="0.25">
      <c r="A10" s="718"/>
      <c r="B10" s="718"/>
      <c r="C10" s="719"/>
      <c r="D10" s="979" t="s">
        <v>2118</v>
      </c>
      <c r="E10" s="980" t="s">
        <v>2238</v>
      </c>
      <c r="F10" s="980" t="s">
        <v>2239</v>
      </c>
      <c r="G10" s="981" t="s">
        <v>2229</v>
      </c>
      <c r="H10" s="980" t="s">
        <v>2119</v>
      </c>
      <c r="I10" s="980" t="s">
        <v>2120</v>
      </c>
      <c r="J10" s="982" t="s">
        <v>2240</v>
      </c>
      <c r="K10" s="720" t="s">
        <v>2241</v>
      </c>
      <c r="L10" s="720" t="s">
        <v>2242</v>
      </c>
      <c r="M10" s="995" t="s">
        <v>2121</v>
      </c>
      <c r="N10" s="996"/>
      <c r="O10" s="997"/>
      <c r="P10" s="721"/>
    </row>
    <row r="11" spans="1:16" s="717" customFormat="1" ht="55.05" customHeight="1" x14ac:dyDescent="0.25">
      <c r="A11" s="705" t="s">
        <v>322</v>
      </c>
      <c r="B11" s="723" t="s">
        <v>1168</v>
      </c>
      <c r="C11" s="724" t="s">
        <v>1169</v>
      </c>
      <c r="D11" s="725" t="s">
        <v>1170</v>
      </c>
      <c r="E11" s="723" t="s">
        <v>2243</v>
      </c>
      <c r="F11" s="792" t="s">
        <v>2244</v>
      </c>
      <c r="G11" s="998" t="s">
        <v>2230</v>
      </c>
      <c r="H11" s="723" t="s">
        <v>2123</v>
      </c>
      <c r="I11" s="723" t="s">
        <v>2124</v>
      </c>
      <c r="J11" s="723" t="s">
        <v>2231</v>
      </c>
      <c r="K11" s="727" t="s">
        <v>2125</v>
      </c>
      <c r="L11" s="728" t="s">
        <v>2126</v>
      </c>
      <c r="M11" s="726" t="s">
        <v>2122</v>
      </c>
      <c r="N11" s="723" t="s">
        <v>2123</v>
      </c>
      <c r="O11" s="723" t="s">
        <v>2124</v>
      </c>
      <c r="P11" s="723" t="s">
        <v>169</v>
      </c>
    </row>
    <row r="12" spans="1:16" s="711" customFormat="1" x14ac:dyDescent="0.25">
      <c r="A12" s="729" t="s">
        <v>583</v>
      </c>
      <c r="B12" s="448" t="s">
        <v>2102</v>
      </c>
      <c r="C12" s="1035" t="s">
        <v>2193</v>
      </c>
      <c r="D12" s="940">
        <v>0</v>
      </c>
      <c r="E12" s="999"/>
      <c r="F12" s="779"/>
      <c r="G12" s="779"/>
      <c r="H12" s="1000"/>
      <c r="I12" s="1001"/>
      <c r="J12" s="1038" t="s">
        <v>77</v>
      </c>
      <c r="K12" s="940">
        <v>0</v>
      </c>
      <c r="L12" s="732"/>
      <c r="N12" s="706"/>
      <c r="O12" s="704"/>
      <c r="P12" s="703"/>
    </row>
    <row r="13" spans="1:16" s="711" customFormat="1" ht="13.8" thickBot="1" x14ac:dyDescent="0.3">
      <c r="A13" s="729" t="s">
        <v>585</v>
      </c>
      <c r="B13" s="448" t="s">
        <v>2103</v>
      </c>
      <c r="C13" s="1036" t="s">
        <v>2193</v>
      </c>
      <c r="D13" s="940">
        <v>0</v>
      </c>
      <c r="E13" s="999"/>
      <c r="F13" s="779"/>
      <c r="G13" s="779"/>
      <c r="H13" s="1000"/>
      <c r="I13" s="1001"/>
      <c r="J13" s="1038" t="s">
        <v>77</v>
      </c>
      <c r="K13" s="940">
        <v>0</v>
      </c>
      <c r="L13" s="732"/>
      <c r="M13" s="1002"/>
      <c r="N13" s="1003"/>
      <c r="O13" s="1004"/>
      <c r="P13" s="703"/>
    </row>
    <row r="14" spans="1:16" s="711" customFormat="1" ht="16.2" thickBot="1" x14ac:dyDescent="0.4">
      <c r="A14" s="729" t="s">
        <v>2127</v>
      </c>
      <c r="B14" s="448" t="s">
        <v>2104</v>
      </c>
      <c r="C14" s="733"/>
      <c r="D14" s="733"/>
      <c r="E14" s="983"/>
      <c r="F14" s="779"/>
      <c r="G14" s="779"/>
      <c r="H14" s="1005"/>
      <c r="I14" s="1005"/>
      <c r="J14" s="1038" t="s">
        <v>77</v>
      </c>
      <c r="K14" s="734"/>
      <c r="L14" s="1006" t="str">
        <f>N14</f>
        <v>---</v>
      </c>
      <c r="M14" s="1040" t="s">
        <v>77</v>
      </c>
      <c r="N14" s="1039" t="s">
        <v>77</v>
      </c>
      <c r="O14" s="1041" t="s">
        <v>77</v>
      </c>
      <c r="P14" s="984" t="s">
        <v>2245</v>
      </c>
    </row>
    <row r="15" spans="1:16" s="711" customFormat="1" x14ac:dyDescent="0.25">
      <c r="A15" s="729" t="s">
        <v>588</v>
      </c>
      <c r="B15" s="448" t="s">
        <v>2105</v>
      </c>
      <c r="C15" s="1036" t="s">
        <v>2193</v>
      </c>
      <c r="D15" s="940">
        <v>0</v>
      </c>
      <c r="E15" s="999"/>
      <c r="F15" s="779"/>
      <c r="G15" s="779"/>
      <c r="H15" s="1000"/>
      <c r="I15" s="1001"/>
      <c r="J15" s="1038" t="s">
        <v>77</v>
      </c>
      <c r="K15" s="940">
        <v>0</v>
      </c>
      <c r="L15" s="732"/>
      <c r="N15" s="706"/>
      <c r="O15" s="704"/>
      <c r="P15" s="703"/>
    </row>
    <row r="16" spans="1:16" s="711" customFormat="1" x14ac:dyDescent="0.25">
      <c r="A16" s="729" t="s">
        <v>1171</v>
      </c>
      <c r="B16" s="448" t="s">
        <v>2106</v>
      </c>
      <c r="C16" s="1036" t="s">
        <v>2193</v>
      </c>
      <c r="D16" s="940">
        <v>0</v>
      </c>
      <c r="E16" s="999"/>
      <c r="F16" s="779"/>
      <c r="G16" s="779"/>
      <c r="H16" s="1000"/>
      <c r="I16" s="1001"/>
      <c r="J16" s="1038" t="s">
        <v>77</v>
      </c>
      <c r="K16" s="732"/>
      <c r="L16" s="940">
        <v>0</v>
      </c>
      <c r="N16" s="706"/>
      <c r="O16" s="735"/>
      <c r="P16" s="703"/>
    </row>
    <row r="17" spans="1:16" s="711" customFormat="1" x14ac:dyDescent="0.25">
      <c r="A17" s="729" t="s">
        <v>1172</v>
      </c>
      <c r="B17" s="448" t="s">
        <v>2107</v>
      </c>
      <c r="C17" s="1036" t="s">
        <v>2193</v>
      </c>
      <c r="D17" s="940">
        <v>0</v>
      </c>
      <c r="E17" s="999"/>
      <c r="F17" s="779"/>
      <c r="G17" s="779"/>
      <c r="H17" s="1000"/>
      <c r="I17" s="1001"/>
      <c r="J17" s="1038" t="s">
        <v>77</v>
      </c>
      <c r="K17" s="732"/>
      <c r="L17" s="940">
        <v>0</v>
      </c>
      <c r="N17" s="706"/>
      <c r="O17" s="735"/>
      <c r="P17" s="703"/>
    </row>
    <row r="18" spans="1:16" s="711" customFormat="1" x14ac:dyDescent="0.25">
      <c r="A18" s="729" t="s">
        <v>1173</v>
      </c>
      <c r="B18" s="448" t="s">
        <v>2108</v>
      </c>
      <c r="C18" s="1036" t="s">
        <v>2193</v>
      </c>
      <c r="D18" s="940">
        <v>0</v>
      </c>
      <c r="E18" s="1007"/>
      <c r="F18" s="779"/>
      <c r="G18" s="779"/>
      <c r="H18" s="1008"/>
      <c r="I18" s="1009"/>
      <c r="J18" s="1038" t="s">
        <v>77</v>
      </c>
      <c r="K18" s="732"/>
      <c r="L18" s="940">
        <v>0</v>
      </c>
      <c r="N18" s="706"/>
      <c r="O18" s="735"/>
      <c r="P18" s="703"/>
    </row>
    <row r="19" spans="1:16" s="711" customFormat="1" x14ac:dyDescent="0.25">
      <c r="A19" s="729" t="s">
        <v>1174</v>
      </c>
      <c r="B19" s="448" t="s">
        <v>2109</v>
      </c>
      <c r="C19" s="1036" t="s">
        <v>2193</v>
      </c>
      <c r="D19" s="940">
        <v>0</v>
      </c>
      <c r="E19" s="1007"/>
      <c r="F19" s="779"/>
      <c r="G19" s="779"/>
      <c r="H19" s="1008"/>
      <c r="I19" s="1009"/>
      <c r="J19" s="1038" t="s">
        <v>77</v>
      </c>
      <c r="K19" s="732"/>
      <c r="L19" s="940">
        <v>0</v>
      </c>
      <c r="N19" s="706"/>
      <c r="O19" s="735"/>
      <c r="P19" s="703"/>
    </row>
    <row r="20" spans="1:16" s="711" customFormat="1" x14ac:dyDescent="0.25">
      <c r="A20" s="729" t="s">
        <v>1175</v>
      </c>
      <c r="B20" s="448" t="s">
        <v>2110</v>
      </c>
      <c r="C20" s="1036" t="s">
        <v>2193</v>
      </c>
      <c r="D20" s="940">
        <v>0</v>
      </c>
      <c r="E20" s="1007"/>
      <c r="F20" s="779"/>
      <c r="G20" s="779"/>
      <c r="H20" s="1008"/>
      <c r="I20" s="1009"/>
      <c r="J20" s="1038" t="s">
        <v>77</v>
      </c>
      <c r="K20" s="732"/>
      <c r="L20" s="940">
        <v>0</v>
      </c>
      <c r="N20" s="736"/>
      <c r="O20" s="737"/>
      <c r="P20" s="703"/>
    </row>
    <row r="21" spans="1:16" s="711" customFormat="1" x14ac:dyDescent="0.25">
      <c r="A21" s="729" t="s">
        <v>1176</v>
      </c>
      <c r="B21" s="448" t="s">
        <v>2111</v>
      </c>
      <c r="C21" s="1036" t="s">
        <v>2193</v>
      </c>
      <c r="D21" s="940">
        <v>0</v>
      </c>
      <c r="E21" s="1010"/>
      <c r="F21" s="1010"/>
      <c r="G21" s="779"/>
      <c r="H21" s="1008"/>
      <c r="I21" s="1009"/>
      <c r="J21" s="1038" t="s">
        <v>77</v>
      </c>
      <c r="K21" s="732"/>
      <c r="L21" s="940">
        <v>0</v>
      </c>
      <c r="N21" s="738"/>
      <c r="O21" s="739"/>
      <c r="P21" s="703"/>
    </row>
    <row r="22" spans="1:16" s="711" customFormat="1" x14ac:dyDescent="0.25">
      <c r="A22" s="729" t="s">
        <v>1177</v>
      </c>
      <c r="B22" s="448" t="s">
        <v>2112</v>
      </c>
      <c r="C22" s="1036" t="s">
        <v>2193</v>
      </c>
      <c r="D22" s="940">
        <v>0</v>
      </c>
      <c r="E22" s="1010"/>
      <c r="F22" s="1010"/>
      <c r="G22" s="779"/>
      <c r="H22" s="1008"/>
      <c r="I22" s="1009"/>
      <c r="J22" s="1038" t="s">
        <v>77</v>
      </c>
      <c r="K22" s="732"/>
      <c r="L22" s="940">
        <v>0</v>
      </c>
      <c r="N22" s="738"/>
      <c r="O22" s="739"/>
      <c r="P22" s="703"/>
    </row>
    <row r="23" spans="1:16" s="711" customFormat="1" x14ac:dyDescent="0.25">
      <c r="A23" s="729" t="s">
        <v>1178</v>
      </c>
      <c r="B23" s="448" t="s">
        <v>2113</v>
      </c>
      <c r="C23" s="1036" t="s">
        <v>2193</v>
      </c>
      <c r="D23" s="940">
        <v>0</v>
      </c>
      <c r="E23" s="1010"/>
      <c r="F23" s="1010"/>
      <c r="G23" s="779"/>
      <c r="H23" s="1008"/>
      <c r="I23" s="1009"/>
      <c r="J23" s="1038" t="s">
        <v>77</v>
      </c>
      <c r="K23" s="732"/>
      <c r="L23" s="940">
        <v>0</v>
      </c>
      <c r="N23" s="736"/>
      <c r="O23" s="737"/>
      <c r="P23" s="703"/>
    </row>
    <row r="24" spans="1:16" s="711" customFormat="1" x14ac:dyDescent="0.25">
      <c r="A24" s="729" t="s">
        <v>1179</v>
      </c>
      <c r="B24" s="448" t="s">
        <v>2114</v>
      </c>
      <c r="C24" s="1036" t="s">
        <v>2193</v>
      </c>
      <c r="D24" s="940">
        <v>0</v>
      </c>
      <c r="E24" s="999"/>
      <c r="F24" s="779"/>
      <c r="G24" s="779"/>
      <c r="H24" s="999"/>
      <c r="I24" s="999"/>
      <c r="J24" s="1038" t="s">
        <v>77</v>
      </c>
      <c r="K24" s="732"/>
      <c r="L24" s="940">
        <v>0</v>
      </c>
      <c r="N24" s="740"/>
      <c r="O24" s="740"/>
      <c r="P24" s="741"/>
    </row>
    <row r="25" spans="1:16" s="711" customFormat="1" x14ac:dyDescent="0.25">
      <c r="A25" s="729" t="s">
        <v>1180</v>
      </c>
      <c r="B25" s="448" t="s">
        <v>2115</v>
      </c>
      <c r="C25" s="1036" t="s">
        <v>2193</v>
      </c>
      <c r="D25" s="940">
        <v>0</v>
      </c>
      <c r="E25" s="999"/>
      <c r="F25" s="779"/>
      <c r="G25" s="779"/>
      <c r="H25" s="999"/>
      <c r="I25" s="999"/>
      <c r="J25" s="1038" t="s">
        <v>77</v>
      </c>
      <c r="K25" s="732"/>
      <c r="L25" s="940">
        <v>0</v>
      </c>
      <c r="M25" s="735"/>
      <c r="N25" s="704"/>
      <c r="O25" s="742"/>
      <c r="P25" s="703"/>
    </row>
    <row r="26" spans="1:16" s="711" customFormat="1" x14ac:dyDescent="0.25">
      <c r="A26" s="729" t="s">
        <v>1181</v>
      </c>
      <c r="B26" s="448" t="s">
        <v>2116</v>
      </c>
      <c r="C26" s="1036" t="s">
        <v>2193</v>
      </c>
      <c r="D26" s="940">
        <v>0</v>
      </c>
      <c r="E26" s="999"/>
      <c r="F26" s="779"/>
      <c r="G26" s="779"/>
      <c r="H26" s="1000"/>
      <c r="I26" s="1001"/>
      <c r="J26" s="1038" t="s">
        <v>77</v>
      </c>
      <c r="K26" s="940">
        <v>0</v>
      </c>
      <c r="L26" s="732"/>
      <c r="M26" s="704"/>
      <c r="N26" s="704"/>
      <c r="O26" s="742"/>
      <c r="P26" s="703"/>
    </row>
    <row r="27" spans="1:16" s="711" customFormat="1" x14ac:dyDescent="0.25">
      <c r="A27" s="729" t="s">
        <v>1183</v>
      </c>
      <c r="B27" s="744" t="s">
        <v>77</v>
      </c>
      <c r="C27" s="730"/>
      <c r="D27" s="743"/>
      <c r="E27" s="745"/>
      <c r="F27" s="779"/>
      <c r="G27" s="779"/>
      <c r="H27" s="746"/>
      <c r="I27" s="747"/>
      <c r="J27" s="1038" t="s">
        <v>77</v>
      </c>
      <c r="K27" s="731"/>
      <c r="L27" s="732"/>
      <c r="M27" s="704"/>
      <c r="N27" s="704"/>
      <c r="O27" s="742"/>
      <c r="P27" s="703"/>
    </row>
    <row r="28" spans="1:16" s="711" customFormat="1" x14ac:dyDescent="0.25">
      <c r="A28" s="729">
        <v>2</v>
      </c>
      <c r="B28" s="451" t="s">
        <v>198</v>
      </c>
      <c r="C28" s="1034" t="s">
        <v>2193</v>
      </c>
      <c r="D28" s="950">
        <v>0</v>
      </c>
      <c r="E28" s="1037" t="s">
        <v>77</v>
      </c>
      <c r="F28" s="1037" t="s">
        <v>77</v>
      </c>
      <c r="G28" s="1037" t="s">
        <v>77</v>
      </c>
      <c r="H28" s="1037" t="s">
        <v>77</v>
      </c>
      <c r="I28" s="1037" t="s">
        <v>77</v>
      </c>
      <c r="J28" s="1037" t="s">
        <v>77</v>
      </c>
      <c r="K28" s="748"/>
      <c r="L28" s="704"/>
      <c r="M28" s="704"/>
      <c r="N28" s="704"/>
      <c r="O28" s="704"/>
      <c r="P28" s="703"/>
    </row>
    <row r="29" spans="1:16" s="711" customFormat="1" x14ac:dyDescent="0.25">
      <c r="A29" s="729">
        <f>A28+1</f>
        <v>3</v>
      </c>
      <c r="B29" s="704"/>
      <c r="C29" s="704"/>
      <c r="D29" s="704"/>
      <c r="E29" s="704"/>
      <c r="F29" s="704"/>
      <c r="G29" s="704"/>
      <c r="H29" s="704"/>
      <c r="I29" s="704"/>
      <c r="J29" s="749"/>
      <c r="K29" s="749"/>
      <c r="M29" s="703"/>
    </row>
    <row r="30" spans="1:16" s="711" customFormat="1" x14ac:dyDescent="0.25">
      <c r="A30" s="729">
        <f t="shared" ref="A30:A34" si="0">A29+1</f>
        <v>4</v>
      </c>
      <c r="B30" s="704"/>
      <c r="C30" s="704"/>
      <c r="D30" s="704"/>
      <c r="E30" s="704"/>
      <c r="G30" s="985"/>
      <c r="I30" s="781"/>
      <c r="J30" s="750"/>
      <c r="K30" s="750"/>
      <c r="L30" s="750"/>
      <c r="M30" s="703"/>
    </row>
    <row r="31" spans="1:16" s="711" customFormat="1" ht="15.6" x14ac:dyDescent="0.3">
      <c r="A31" s="729">
        <f t="shared" si="0"/>
        <v>5</v>
      </c>
      <c r="B31" s="1011" t="s">
        <v>2246</v>
      </c>
      <c r="C31" s="704"/>
      <c r="D31" s="704"/>
      <c r="E31" s="704"/>
      <c r="F31" s="704"/>
      <c r="G31" s="704"/>
      <c r="H31" s="704"/>
      <c r="I31" s="704"/>
      <c r="J31" s="704"/>
      <c r="K31" s="704"/>
      <c r="L31" s="704"/>
      <c r="M31" s="703"/>
    </row>
    <row r="32" spans="1:16" s="711" customFormat="1" x14ac:dyDescent="0.25">
      <c r="A32" s="729">
        <f t="shared" si="0"/>
        <v>6</v>
      </c>
      <c r="B32" s="704"/>
      <c r="C32" s="713" t="s">
        <v>363</v>
      </c>
      <c r="D32" s="713" t="s">
        <v>347</v>
      </c>
      <c r="E32" s="713" t="s">
        <v>348</v>
      </c>
      <c r="F32" s="713" t="s">
        <v>349</v>
      </c>
      <c r="G32" s="713" t="s">
        <v>350</v>
      </c>
      <c r="H32" s="713" t="s">
        <v>351</v>
      </c>
      <c r="I32" s="713" t="s">
        <v>352</v>
      </c>
      <c r="J32" s="713" t="s">
        <v>541</v>
      </c>
      <c r="K32" s="704"/>
      <c r="M32" s="703"/>
    </row>
    <row r="33" spans="1:13" s="722" customFormat="1" ht="26.4" x14ac:dyDescent="0.25">
      <c r="A33" s="729">
        <f t="shared" si="0"/>
        <v>7</v>
      </c>
      <c r="B33" s="718"/>
      <c r="C33" s="751" t="s">
        <v>2128</v>
      </c>
      <c r="D33" s="752" t="s">
        <v>2247</v>
      </c>
      <c r="E33" s="752" t="s">
        <v>2248</v>
      </c>
      <c r="F33" s="1012"/>
      <c r="H33" s="1013" t="s">
        <v>2128</v>
      </c>
      <c r="I33" s="981" t="s">
        <v>1187</v>
      </c>
      <c r="J33" s="1014" t="s">
        <v>2249</v>
      </c>
      <c r="K33" s="1015"/>
      <c r="L33" s="1015"/>
      <c r="M33" s="1015"/>
    </row>
    <row r="34" spans="1:13" s="711" customFormat="1" x14ac:dyDescent="0.25">
      <c r="A34" s="729">
        <f t="shared" si="0"/>
        <v>8</v>
      </c>
      <c r="B34" s="704"/>
      <c r="C34" s="713"/>
      <c r="D34" s="713"/>
      <c r="E34" s="713"/>
      <c r="F34" s="1016"/>
      <c r="K34" s="1016"/>
      <c r="L34" s="1016"/>
      <c r="M34" s="1017"/>
    </row>
    <row r="35" spans="1:13" s="756" customFormat="1" ht="52.8" x14ac:dyDescent="0.25">
      <c r="A35" s="729">
        <v>9</v>
      </c>
      <c r="B35" s="754" t="s">
        <v>1168</v>
      </c>
      <c r="C35" s="728" t="s">
        <v>2250</v>
      </c>
      <c r="D35" s="754" t="s">
        <v>2251</v>
      </c>
      <c r="E35" s="754" t="s">
        <v>2252</v>
      </c>
      <c r="F35" s="1018"/>
      <c r="G35" s="754" t="s">
        <v>1168</v>
      </c>
      <c r="H35" s="754" t="s">
        <v>2253</v>
      </c>
      <c r="I35" s="754" t="s">
        <v>2254</v>
      </c>
      <c r="J35" s="754" t="s">
        <v>2255</v>
      </c>
      <c r="K35" s="1018"/>
      <c r="L35" s="1019"/>
      <c r="M35" s="1019"/>
    </row>
    <row r="36" spans="1:13" s="759" customFormat="1" ht="14.4" x14ac:dyDescent="0.3">
      <c r="A36" s="757" t="s">
        <v>2129</v>
      </c>
      <c r="B36" s="758" t="s">
        <v>2111</v>
      </c>
      <c r="C36" s="940">
        <v>0</v>
      </c>
      <c r="D36" s="1042" t="s">
        <v>77</v>
      </c>
      <c r="E36" s="940">
        <v>0</v>
      </c>
      <c r="F36" s="1020"/>
      <c r="G36" s="758" t="s">
        <v>2108</v>
      </c>
      <c r="H36" s="940">
        <v>0</v>
      </c>
      <c r="I36" s="1043" t="s">
        <v>77</v>
      </c>
      <c r="J36" s="940">
        <v>0</v>
      </c>
      <c r="K36" s="1021"/>
      <c r="L36" s="1022"/>
      <c r="M36" s="1020"/>
    </row>
    <row r="37" spans="1:13" s="759" customFormat="1" ht="14.4" x14ac:dyDescent="0.3">
      <c r="A37" s="757" t="s">
        <v>2130</v>
      </c>
      <c r="B37" s="758" t="s">
        <v>2112</v>
      </c>
      <c r="C37" s="940">
        <v>0</v>
      </c>
      <c r="D37" s="1042" t="s">
        <v>77</v>
      </c>
      <c r="E37" s="940">
        <v>0</v>
      </c>
      <c r="F37" s="1020"/>
      <c r="G37" s="758" t="s">
        <v>2109</v>
      </c>
      <c r="H37" s="940">
        <v>0</v>
      </c>
      <c r="I37" s="1043" t="s">
        <v>77</v>
      </c>
      <c r="J37" s="940">
        <v>0</v>
      </c>
      <c r="K37" s="1021"/>
      <c r="L37" s="1022"/>
      <c r="M37" s="1020"/>
    </row>
    <row r="38" spans="1:13" s="759" customFormat="1" ht="14.4" x14ac:dyDescent="0.3">
      <c r="A38" s="757" t="s">
        <v>2131</v>
      </c>
      <c r="B38" s="758" t="s">
        <v>2113</v>
      </c>
      <c r="C38" s="940">
        <v>0</v>
      </c>
      <c r="D38" s="1042" t="s">
        <v>77</v>
      </c>
      <c r="E38" s="940">
        <v>0</v>
      </c>
      <c r="F38" s="1020"/>
      <c r="G38" s="758" t="s">
        <v>2110</v>
      </c>
      <c r="H38" s="940">
        <v>0</v>
      </c>
      <c r="I38" s="1043" t="s">
        <v>77</v>
      </c>
      <c r="J38" s="940">
        <v>0</v>
      </c>
      <c r="K38" s="1021"/>
      <c r="L38" s="1022"/>
      <c r="M38" s="1020"/>
    </row>
    <row r="39" spans="1:13" s="711" customFormat="1" x14ac:dyDescent="0.25">
      <c r="A39" s="757" t="s">
        <v>2132</v>
      </c>
      <c r="B39" s="744" t="s">
        <v>77</v>
      </c>
      <c r="C39" s="713"/>
      <c r="D39" s="713"/>
      <c r="E39" s="713"/>
      <c r="F39" s="713"/>
      <c r="G39" s="744" t="s">
        <v>77</v>
      </c>
      <c r="H39" s="713"/>
      <c r="I39" s="753"/>
      <c r="K39" s="704"/>
      <c r="M39" s="703"/>
    </row>
    <row r="40" spans="1:13" s="711" customFormat="1" x14ac:dyDescent="0.25">
      <c r="A40" s="729">
        <v>10</v>
      </c>
      <c r="B40" s="704"/>
      <c r="C40" s="713"/>
      <c r="D40" s="713"/>
      <c r="E40" s="713"/>
      <c r="F40" s="713"/>
      <c r="G40" s="713"/>
      <c r="H40" s="713"/>
      <c r="I40" s="753"/>
      <c r="K40" s="704"/>
      <c r="M40" s="703"/>
    </row>
    <row r="41" spans="1:13" s="711" customFormat="1" ht="15.6" x14ac:dyDescent="0.3">
      <c r="A41" s="729">
        <v>11</v>
      </c>
      <c r="B41" s="761" t="s">
        <v>1647</v>
      </c>
      <c r="C41" s="704"/>
      <c r="D41" s="704"/>
      <c r="E41" s="704"/>
      <c r="G41" s="704"/>
      <c r="H41" s="704"/>
      <c r="I41" s="704"/>
      <c r="J41" s="704"/>
      <c r="K41" s="704"/>
      <c r="L41" s="704"/>
      <c r="M41" s="703"/>
    </row>
    <row r="42" spans="1:13" s="711" customFormat="1" x14ac:dyDescent="0.25">
      <c r="A42" s="729">
        <v>12</v>
      </c>
      <c r="B42" s="704"/>
      <c r="C42" s="713" t="s">
        <v>363</v>
      </c>
      <c r="D42" s="713" t="s">
        <v>347</v>
      </c>
      <c r="E42" s="713" t="s">
        <v>348</v>
      </c>
      <c r="F42" s="713" t="s">
        <v>349</v>
      </c>
      <c r="G42" s="713" t="s">
        <v>350</v>
      </c>
      <c r="H42" s="713" t="s">
        <v>351</v>
      </c>
      <c r="I42" s="713" t="s">
        <v>352</v>
      </c>
      <c r="J42" s="713" t="s">
        <v>541</v>
      </c>
      <c r="K42" s="713" t="s">
        <v>955</v>
      </c>
      <c r="L42" s="713" t="s">
        <v>967</v>
      </c>
      <c r="M42" s="703"/>
    </row>
    <row r="43" spans="1:13" s="722" customFormat="1" ht="39.6" x14ac:dyDescent="0.25">
      <c r="A43" s="762">
        <v>13</v>
      </c>
      <c r="B43" s="718"/>
      <c r="C43" s="752" t="s">
        <v>2256</v>
      </c>
      <c r="D43" s="752" t="s">
        <v>2257</v>
      </c>
      <c r="E43" s="986" t="s">
        <v>2258</v>
      </c>
      <c r="G43" s="986" t="s">
        <v>2259</v>
      </c>
      <c r="H43" s="986" t="s">
        <v>2260</v>
      </c>
      <c r="I43" s="986" t="s">
        <v>2261</v>
      </c>
      <c r="J43" s="986" t="s">
        <v>2133</v>
      </c>
      <c r="K43" s="986" t="s">
        <v>2134</v>
      </c>
      <c r="L43" s="719"/>
      <c r="M43" s="719"/>
    </row>
    <row r="44" spans="1:13" s="711" customFormat="1" x14ac:dyDescent="0.25">
      <c r="A44" s="729">
        <v>14</v>
      </c>
      <c r="B44" s="704"/>
      <c r="C44" s="714"/>
      <c r="D44" s="763" t="s">
        <v>2233</v>
      </c>
      <c r="E44" s="987"/>
      <c r="G44" s="748"/>
      <c r="H44" s="764" t="s">
        <v>2234</v>
      </c>
      <c r="I44" s="764" t="s">
        <v>2262</v>
      </c>
      <c r="J44" s="764"/>
      <c r="K44" s="764"/>
      <c r="L44" s="714"/>
      <c r="M44" s="748"/>
    </row>
    <row r="45" spans="1:13" s="717" customFormat="1" ht="66" x14ac:dyDescent="0.25">
      <c r="A45" s="729">
        <v>15</v>
      </c>
      <c r="B45" s="726" t="str">
        <f>B11</f>
        <v>CPUC Rate Group</v>
      </c>
      <c r="C45" s="728" t="s">
        <v>2263</v>
      </c>
      <c r="D45" s="728" t="s">
        <v>2232</v>
      </c>
      <c r="E45" s="728" t="s">
        <v>2135</v>
      </c>
      <c r="G45" s="728" t="s">
        <v>1188</v>
      </c>
      <c r="H45" s="728" t="s">
        <v>2136</v>
      </c>
      <c r="I45" s="755" t="s">
        <v>2137</v>
      </c>
      <c r="J45" s="728" t="s">
        <v>2138</v>
      </c>
      <c r="K45" s="755" t="s">
        <v>2139</v>
      </c>
      <c r="L45" s="765" t="s">
        <v>169</v>
      </c>
      <c r="M45" s="703"/>
    </row>
    <row r="46" spans="1:13" s="711" customFormat="1" ht="13.8" thickBot="1" x14ac:dyDescent="0.3">
      <c r="A46" s="729" t="s">
        <v>2140</v>
      </c>
      <c r="B46" s="448" t="str">
        <f>B12</f>
        <v>Domestic</v>
      </c>
      <c r="C46" s="940">
        <v>0</v>
      </c>
      <c r="D46" s="940">
        <v>0</v>
      </c>
      <c r="E46" s="766"/>
      <c r="G46" s="940">
        <v>0</v>
      </c>
      <c r="H46" s="766"/>
      <c r="I46" s="989"/>
      <c r="J46" s="767"/>
      <c r="K46" s="766"/>
      <c r="L46" s="766"/>
      <c r="M46" s="748"/>
    </row>
    <row r="47" spans="1:13" s="711" customFormat="1" ht="13.8" thickBot="1" x14ac:dyDescent="0.3">
      <c r="A47" s="729" t="s">
        <v>2141</v>
      </c>
      <c r="B47" s="448" t="str">
        <f>B13</f>
        <v>GS-1</v>
      </c>
      <c r="C47" s="940">
        <v>0</v>
      </c>
      <c r="D47" s="940">
        <v>0</v>
      </c>
      <c r="E47" s="940">
        <v>0</v>
      </c>
      <c r="G47" s="940">
        <v>0</v>
      </c>
      <c r="H47" s="940">
        <v>0</v>
      </c>
      <c r="I47" s="1046">
        <v>0</v>
      </c>
      <c r="J47" s="1048">
        <v>0</v>
      </c>
      <c r="K47" s="1048">
        <v>0</v>
      </c>
      <c r="L47" s="984" t="s">
        <v>2264</v>
      </c>
      <c r="M47" s="748"/>
    </row>
    <row r="48" spans="1:13" s="711" customFormat="1" x14ac:dyDescent="0.25">
      <c r="A48" s="729" t="s">
        <v>2142</v>
      </c>
      <c r="B48" s="448" t="str">
        <f t="shared" ref="B48:B59" si="1">B15</f>
        <v>TC-1</v>
      </c>
      <c r="C48" s="940">
        <v>0</v>
      </c>
      <c r="D48" s="940">
        <v>0</v>
      </c>
      <c r="E48" s="766"/>
      <c r="G48" s="940">
        <v>0</v>
      </c>
      <c r="H48" s="766"/>
      <c r="I48" s="989"/>
      <c r="J48" s="767"/>
      <c r="K48" s="766"/>
      <c r="L48" s="766"/>
      <c r="M48" s="748"/>
    </row>
    <row r="49" spans="1:13" s="711" customFormat="1" x14ac:dyDescent="0.25">
      <c r="A49" s="729" t="s">
        <v>2143</v>
      </c>
      <c r="B49" s="448" t="str">
        <f t="shared" si="1"/>
        <v>GS-2</v>
      </c>
      <c r="C49" s="940">
        <v>0</v>
      </c>
      <c r="D49" s="940">
        <v>0</v>
      </c>
      <c r="E49" s="940">
        <v>0</v>
      </c>
      <c r="G49" s="1023"/>
      <c r="H49" s="940">
        <v>0</v>
      </c>
      <c r="I49" s="940">
        <v>0</v>
      </c>
      <c r="J49" s="767"/>
      <c r="K49" s="766"/>
      <c r="L49" s="766"/>
      <c r="M49" s="748"/>
    </row>
    <row r="50" spans="1:13" s="711" customFormat="1" x14ac:dyDescent="0.25">
      <c r="A50" s="729" t="s">
        <v>2144</v>
      </c>
      <c r="B50" s="448" t="str">
        <f t="shared" si="1"/>
        <v>TOU-GS-3</v>
      </c>
      <c r="C50" s="940">
        <v>0</v>
      </c>
      <c r="D50" s="940">
        <v>0</v>
      </c>
      <c r="E50" s="940">
        <v>0</v>
      </c>
      <c r="G50" s="1023"/>
      <c r="H50" s="940">
        <v>0</v>
      </c>
      <c r="I50" s="940">
        <v>0</v>
      </c>
      <c r="J50" s="767"/>
      <c r="K50" s="766"/>
      <c r="L50" s="766"/>
      <c r="M50" s="748"/>
    </row>
    <row r="51" spans="1:13" s="711" customFormat="1" x14ac:dyDescent="0.25">
      <c r="A51" s="729" t="s">
        <v>2145</v>
      </c>
      <c r="B51" s="448" t="str">
        <f t="shared" si="1"/>
        <v>TOU-8-SEC</v>
      </c>
      <c r="C51" s="940">
        <v>0</v>
      </c>
      <c r="D51" s="940">
        <v>0</v>
      </c>
      <c r="E51" s="766"/>
      <c r="G51" s="1023"/>
      <c r="H51" s="940">
        <v>0</v>
      </c>
      <c r="I51" s="989"/>
      <c r="J51" s="767"/>
      <c r="K51" s="766"/>
      <c r="L51" s="766"/>
      <c r="M51" s="748"/>
    </row>
    <row r="52" spans="1:13" s="711" customFormat="1" x14ac:dyDescent="0.25">
      <c r="A52" s="729" t="s">
        <v>2146</v>
      </c>
      <c r="B52" s="448" t="str">
        <f t="shared" si="1"/>
        <v>TOU-8-PRI</v>
      </c>
      <c r="C52" s="940">
        <v>0</v>
      </c>
      <c r="D52" s="940">
        <v>0</v>
      </c>
      <c r="E52" s="766"/>
      <c r="G52" s="1023"/>
      <c r="H52" s="940">
        <v>0</v>
      </c>
      <c r="I52" s="989"/>
      <c r="J52" s="767"/>
      <c r="K52" s="766"/>
      <c r="L52" s="766"/>
      <c r="M52" s="748"/>
    </row>
    <row r="53" spans="1:13" s="711" customFormat="1" x14ac:dyDescent="0.25">
      <c r="A53" s="729" t="s">
        <v>2147</v>
      </c>
      <c r="B53" s="448" t="str">
        <f t="shared" si="1"/>
        <v>TOU-8-SUB</v>
      </c>
      <c r="C53" s="940">
        <v>0</v>
      </c>
      <c r="D53" s="940">
        <v>0</v>
      </c>
      <c r="E53" s="766"/>
      <c r="G53" s="1023"/>
      <c r="H53" s="940">
        <v>0</v>
      </c>
      <c r="I53" s="989"/>
      <c r="J53" s="1024"/>
      <c r="K53" s="768"/>
      <c r="L53" s="768"/>
      <c r="M53" s="748"/>
    </row>
    <row r="54" spans="1:13" s="711" customFormat="1" x14ac:dyDescent="0.25">
      <c r="A54" s="729" t="s">
        <v>2148</v>
      </c>
      <c r="B54" s="448" t="str">
        <f t="shared" si="1"/>
        <v>TOU-8-Standby-SEC</v>
      </c>
      <c r="C54" s="940">
        <v>0</v>
      </c>
      <c r="D54" s="940">
        <v>0</v>
      </c>
      <c r="E54" s="940">
        <v>0</v>
      </c>
      <c r="G54" s="1023"/>
      <c r="H54" s="940">
        <v>0</v>
      </c>
      <c r="I54" s="940">
        <v>0</v>
      </c>
      <c r="J54" s="1024"/>
      <c r="K54" s="768"/>
      <c r="L54" s="768"/>
      <c r="M54" s="748"/>
    </row>
    <row r="55" spans="1:13" s="711" customFormat="1" x14ac:dyDescent="0.25">
      <c r="A55" s="729" t="s">
        <v>2149</v>
      </c>
      <c r="B55" s="448" t="str">
        <f t="shared" si="1"/>
        <v>TOU-8-Standby-PRI</v>
      </c>
      <c r="C55" s="940">
        <v>0</v>
      </c>
      <c r="D55" s="940">
        <v>0</v>
      </c>
      <c r="E55" s="940">
        <v>0</v>
      </c>
      <c r="G55" s="1023"/>
      <c r="H55" s="940">
        <v>0</v>
      </c>
      <c r="I55" s="940">
        <v>0</v>
      </c>
      <c r="J55" s="1024"/>
      <c r="K55" s="768"/>
      <c r="L55" s="768"/>
      <c r="M55" s="748"/>
    </row>
    <row r="56" spans="1:13" s="711" customFormat="1" ht="13.8" thickBot="1" x14ac:dyDescent="0.3">
      <c r="A56" s="729" t="s">
        <v>2150</v>
      </c>
      <c r="B56" s="448" t="str">
        <f t="shared" si="1"/>
        <v>TOU-8-Standby-SUB</v>
      </c>
      <c r="C56" s="940">
        <v>0</v>
      </c>
      <c r="D56" s="940">
        <v>0</v>
      </c>
      <c r="E56" s="940">
        <v>0</v>
      </c>
      <c r="G56" s="1023"/>
      <c r="H56" s="940">
        <v>0</v>
      </c>
      <c r="I56" s="940">
        <v>0</v>
      </c>
      <c r="J56" s="1024"/>
      <c r="K56" s="768"/>
      <c r="L56" s="768"/>
      <c r="M56" s="748"/>
    </row>
    <row r="57" spans="1:13" s="711" customFormat="1" ht="13.8" thickBot="1" x14ac:dyDescent="0.3">
      <c r="A57" s="729" t="s">
        <v>2151</v>
      </c>
      <c r="B57" s="448" t="str">
        <f t="shared" si="1"/>
        <v>TOU-PA-2</v>
      </c>
      <c r="C57" s="940">
        <v>0</v>
      </c>
      <c r="D57" s="940">
        <v>0</v>
      </c>
      <c r="E57" s="940">
        <v>0</v>
      </c>
      <c r="G57" s="1023"/>
      <c r="H57" s="940">
        <v>0</v>
      </c>
      <c r="I57" s="940">
        <v>0</v>
      </c>
      <c r="J57" s="1047">
        <v>0</v>
      </c>
      <c r="K57" s="1048">
        <f>I57*0.746</f>
        <v>0</v>
      </c>
      <c r="L57" s="984" t="s">
        <v>2265</v>
      </c>
      <c r="M57" s="714"/>
    </row>
    <row r="58" spans="1:13" s="711" customFormat="1" x14ac:dyDescent="0.25">
      <c r="A58" s="729" t="s">
        <v>2152</v>
      </c>
      <c r="B58" s="448" t="str">
        <f t="shared" si="1"/>
        <v>TOU-PA-3</v>
      </c>
      <c r="C58" s="940">
        <v>0</v>
      </c>
      <c r="D58" s="940">
        <v>0</v>
      </c>
      <c r="E58" s="940">
        <v>0</v>
      </c>
      <c r="G58" s="1023"/>
      <c r="H58" s="940">
        <v>0</v>
      </c>
      <c r="I58" s="940">
        <v>0</v>
      </c>
      <c r="J58" s="767"/>
      <c r="K58" s="766"/>
      <c r="L58" s="766"/>
      <c r="M58" s="714"/>
    </row>
    <row r="59" spans="1:13" s="711" customFormat="1" x14ac:dyDescent="0.25">
      <c r="A59" s="729" t="s">
        <v>2153</v>
      </c>
      <c r="B59" s="448" t="str">
        <f t="shared" si="1"/>
        <v>Street Lighting</v>
      </c>
      <c r="C59" s="940">
        <v>0</v>
      </c>
      <c r="D59" s="940">
        <v>0</v>
      </c>
      <c r="E59" s="766"/>
      <c r="G59" s="940">
        <v>0</v>
      </c>
      <c r="H59" s="766"/>
      <c r="I59" s="989"/>
      <c r="J59" s="767"/>
      <c r="K59" s="766"/>
      <c r="L59" s="766"/>
      <c r="M59" s="714"/>
    </row>
    <row r="60" spans="1:13" s="711" customFormat="1" x14ac:dyDescent="0.25">
      <c r="A60" s="729" t="s">
        <v>2154</v>
      </c>
      <c r="B60" s="744" t="s">
        <v>77</v>
      </c>
      <c r="C60" s="988"/>
      <c r="D60" s="988"/>
      <c r="E60" s="766"/>
      <c r="G60" s="766"/>
      <c r="H60" s="766"/>
      <c r="I60" s="989"/>
      <c r="J60" s="767"/>
      <c r="K60" s="766"/>
      <c r="L60" s="766"/>
      <c r="M60" s="714"/>
    </row>
    <row r="61" spans="1:13" s="711" customFormat="1" x14ac:dyDescent="0.25">
      <c r="A61" s="729">
        <v>17</v>
      </c>
      <c r="B61" s="449" t="s">
        <v>198</v>
      </c>
      <c r="C61" s="1044">
        <v>0</v>
      </c>
      <c r="D61" s="950">
        <v>0</v>
      </c>
      <c r="E61" s="1045">
        <v>0</v>
      </c>
      <c r="G61" s="769"/>
      <c r="H61" s="769"/>
      <c r="I61" s="769"/>
      <c r="J61" s="769"/>
      <c r="K61" s="701"/>
      <c r="L61" s="701"/>
      <c r="M61" s="714"/>
    </row>
    <row r="62" spans="1:13" s="711" customFormat="1" x14ac:dyDescent="0.25">
      <c r="A62" s="729">
        <v>18</v>
      </c>
      <c r="B62" s="704"/>
      <c r="C62" s="704"/>
      <c r="D62" s="704"/>
      <c r="E62" s="704"/>
      <c r="F62" s="704"/>
      <c r="G62" s="704"/>
      <c r="H62" s="704"/>
      <c r="I62" s="701"/>
      <c r="J62" s="701"/>
      <c r="K62" s="701"/>
      <c r="L62" s="701"/>
      <c r="M62" s="703"/>
    </row>
    <row r="63" spans="1:13" s="711" customFormat="1" x14ac:dyDescent="0.25">
      <c r="A63" s="729">
        <v>19</v>
      </c>
      <c r="B63" s="770" t="s">
        <v>233</v>
      </c>
      <c r="C63" s="704"/>
      <c r="D63" s="704"/>
      <c r="E63" s="704"/>
      <c r="F63" s="704"/>
      <c r="G63" s="704"/>
      <c r="H63" s="704"/>
      <c r="I63" s="701"/>
      <c r="J63" s="701"/>
      <c r="K63" s="701"/>
      <c r="L63" s="701"/>
      <c r="M63" s="703"/>
    </row>
    <row r="64" spans="1:13" s="711" customFormat="1" x14ac:dyDescent="0.25">
      <c r="A64" s="704"/>
      <c r="B64" s="771" t="s">
        <v>2155</v>
      </c>
      <c r="I64" s="771"/>
      <c r="J64" s="771"/>
      <c r="K64" s="771"/>
      <c r="L64" s="771"/>
      <c r="M64" s="703"/>
    </row>
    <row r="65" spans="1:13" s="711" customFormat="1" x14ac:dyDescent="0.25">
      <c r="A65" s="704"/>
      <c r="B65" s="771" t="s">
        <v>2235</v>
      </c>
      <c r="I65" s="771"/>
      <c r="J65" s="771"/>
      <c r="K65" s="771"/>
      <c r="L65" s="771"/>
      <c r="M65" s="703"/>
    </row>
    <row r="66" spans="1:13" s="711" customFormat="1" x14ac:dyDescent="0.25">
      <c r="A66" s="704"/>
      <c r="B66" s="771" t="s">
        <v>2266</v>
      </c>
      <c r="I66" s="771"/>
      <c r="J66" s="771"/>
      <c r="K66" s="771"/>
      <c r="L66" s="771"/>
      <c r="M66" s="703"/>
    </row>
    <row r="67" spans="1:13" s="711" customFormat="1" x14ac:dyDescent="0.25">
      <c r="A67" s="704"/>
      <c r="B67" s="990" t="s">
        <v>2267</v>
      </c>
      <c r="C67" s="771"/>
      <c r="D67" s="771"/>
      <c r="E67" s="771"/>
      <c r="F67" s="771"/>
      <c r="G67" s="771"/>
      <c r="I67" s="771"/>
      <c r="J67" s="771"/>
      <c r="K67" s="771"/>
      <c r="L67" s="771"/>
      <c r="M67" s="703"/>
    </row>
    <row r="68" spans="1:13" s="711" customFormat="1" x14ac:dyDescent="0.25">
      <c r="A68" s="704"/>
      <c r="B68" s="990" t="s">
        <v>2268</v>
      </c>
      <c r="C68" s="771"/>
      <c r="D68" s="771"/>
      <c r="E68" s="771"/>
      <c r="F68" s="771"/>
      <c r="G68" s="771"/>
      <c r="I68" s="771"/>
      <c r="J68" s="771"/>
      <c r="K68" s="771"/>
      <c r="L68" s="771"/>
      <c r="M68" s="703"/>
    </row>
    <row r="69" spans="1:13" s="711" customFormat="1" x14ac:dyDescent="0.25">
      <c r="A69" s="704"/>
      <c r="B69" s="1025" t="s">
        <v>2269</v>
      </c>
      <c r="I69" s="771"/>
      <c r="J69" s="771"/>
      <c r="K69" s="771"/>
      <c r="L69" s="771"/>
      <c r="M69" s="703"/>
    </row>
    <row r="70" spans="1:13" s="711" customFormat="1" x14ac:dyDescent="0.25">
      <c r="A70" s="704"/>
      <c r="B70" s="771" t="s">
        <v>2270</v>
      </c>
      <c r="I70" s="771"/>
      <c r="J70" s="771"/>
      <c r="K70" s="771"/>
      <c r="L70" s="771"/>
      <c r="M70" s="703"/>
    </row>
    <row r="71" spans="1:13" s="711" customFormat="1" x14ac:dyDescent="0.25">
      <c r="A71" s="704"/>
      <c r="B71" s="771" t="s">
        <v>2271</v>
      </c>
      <c r="I71" s="771"/>
      <c r="J71" s="771"/>
      <c r="K71" s="771"/>
      <c r="L71" s="771"/>
      <c r="M71" s="703"/>
    </row>
    <row r="72" spans="1:13" s="711" customFormat="1" x14ac:dyDescent="0.25">
      <c r="A72" s="704"/>
      <c r="B72" s="771" t="s">
        <v>2272</v>
      </c>
      <c r="I72" s="771"/>
      <c r="J72" s="771"/>
      <c r="K72" s="771"/>
      <c r="L72" s="771"/>
      <c r="M72" s="703"/>
    </row>
    <row r="73" spans="1:13" s="711" customFormat="1" x14ac:dyDescent="0.25">
      <c r="A73" s="704"/>
      <c r="B73" s="771" t="s">
        <v>2273</v>
      </c>
      <c r="I73" s="771"/>
      <c r="J73" s="771"/>
      <c r="K73" s="771"/>
      <c r="L73" s="771"/>
      <c r="M73" s="703"/>
    </row>
    <row r="74" spans="1:13" s="711" customFormat="1" x14ac:dyDescent="0.25">
      <c r="A74" s="704"/>
      <c r="B74" s="771" t="s">
        <v>2274</v>
      </c>
      <c r="I74" s="771"/>
      <c r="J74" s="771"/>
      <c r="K74" s="771"/>
      <c r="L74" s="771"/>
      <c r="M74" s="703"/>
    </row>
    <row r="75" spans="1:13" s="711" customFormat="1" x14ac:dyDescent="0.25">
      <c r="A75" s="704"/>
      <c r="B75" s="990" t="s">
        <v>2275</v>
      </c>
      <c r="I75" s="771"/>
      <c r="J75" s="771"/>
      <c r="K75" s="771"/>
      <c r="L75" s="771"/>
      <c r="M75" s="703"/>
    </row>
    <row r="76" spans="1:13" s="711" customFormat="1" x14ac:dyDescent="0.25">
      <c r="A76" s="704"/>
      <c r="B76" s="990" t="s">
        <v>2276</v>
      </c>
      <c r="I76" s="771"/>
      <c r="J76" s="771"/>
      <c r="K76" s="771"/>
      <c r="L76" s="771"/>
      <c r="M76" s="703"/>
    </row>
    <row r="77" spans="1:13" s="711" customFormat="1" x14ac:dyDescent="0.25">
      <c r="A77" s="704"/>
      <c r="B77" s="990" t="s">
        <v>2277</v>
      </c>
      <c r="I77" s="771"/>
      <c r="J77" s="771"/>
      <c r="K77" s="771"/>
      <c r="L77" s="771"/>
      <c r="M77" s="703"/>
    </row>
    <row r="78" spans="1:13" s="711" customFormat="1" ht="15.6" x14ac:dyDescent="0.35">
      <c r="A78" s="704"/>
      <c r="B78" s="771" t="s">
        <v>2278</v>
      </c>
      <c r="I78" s="771"/>
      <c r="J78" s="771"/>
      <c r="K78" s="771"/>
      <c r="L78" s="771"/>
      <c r="M78" s="703"/>
    </row>
    <row r="79" spans="1:13" s="711" customFormat="1" x14ac:dyDescent="0.25">
      <c r="A79" s="704"/>
      <c r="B79" s="771" t="s">
        <v>2279</v>
      </c>
      <c r="I79" s="771"/>
      <c r="J79" s="771"/>
      <c r="K79" s="771"/>
      <c r="L79" s="771"/>
      <c r="M79" s="703"/>
    </row>
    <row r="80" spans="1:13" s="711" customFormat="1" x14ac:dyDescent="0.25">
      <c r="A80" s="704"/>
      <c r="B80" s="771" t="s">
        <v>2280</v>
      </c>
      <c r="I80" s="771"/>
      <c r="J80" s="771"/>
      <c r="K80" s="771"/>
      <c r="L80" s="771"/>
      <c r="M80" s="703"/>
    </row>
    <row r="81" spans="1:13" s="711" customFormat="1" x14ac:dyDescent="0.25">
      <c r="A81" s="704"/>
      <c r="B81" s="771" t="s">
        <v>2281</v>
      </c>
      <c r="I81" s="771"/>
      <c r="J81" s="771"/>
      <c r="K81" s="771"/>
      <c r="L81" s="771"/>
      <c r="M81" s="703"/>
    </row>
    <row r="82" spans="1:13" s="711" customFormat="1" x14ac:dyDescent="0.25">
      <c r="A82" s="704"/>
      <c r="B82" s="771" t="s">
        <v>2282</v>
      </c>
      <c r="I82" s="771"/>
      <c r="J82" s="771"/>
      <c r="K82" s="771"/>
      <c r="L82" s="771"/>
      <c r="M82" s="703"/>
    </row>
    <row r="83" spans="1:13" x14ac:dyDescent="0.25">
      <c r="A83" s="729">
        <v>20</v>
      </c>
    </row>
    <row r="84" spans="1:13" s="711" customFormat="1" x14ac:dyDescent="0.25">
      <c r="A84" s="729">
        <v>21</v>
      </c>
      <c r="B84" s="772"/>
      <c r="C84" s="704"/>
      <c r="D84" s="704"/>
      <c r="M84" s="703"/>
    </row>
    <row r="85" spans="1:13" s="711" customFormat="1" ht="15.6" x14ac:dyDescent="0.3">
      <c r="A85" s="729">
        <v>22</v>
      </c>
      <c r="B85" s="700" t="s">
        <v>1189</v>
      </c>
      <c r="C85" s="704"/>
      <c r="D85" s="704"/>
      <c r="E85" s="704"/>
      <c r="F85" s="704"/>
      <c r="G85" s="704"/>
      <c r="H85" s="704"/>
      <c r="I85" s="704"/>
      <c r="J85" s="704"/>
      <c r="K85" s="704"/>
      <c r="L85" s="704"/>
      <c r="M85" s="703"/>
    </row>
    <row r="86" spans="1:13" x14ac:dyDescent="0.25">
      <c r="A86" s="729">
        <v>23</v>
      </c>
    </row>
    <row r="87" spans="1:13" x14ac:dyDescent="0.25">
      <c r="A87" s="729">
        <v>24</v>
      </c>
    </row>
    <row r="88" spans="1:13" s="711" customFormat="1" ht="25.5" customHeight="1" x14ac:dyDescent="0.25">
      <c r="A88" s="729">
        <v>25</v>
      </c>
      <c r="B88" s="726" t="str">
        <f>B11</f>
        <v>CPUC Rate Group</v>
      </c>
      <c r="C88" s="773" t="s">
        <v>1190</v>
      </c>
      <c r="D88" s="774"/>
      <c r="E88" s="774"/>
      <c r="F88" s="774"/>
      <c r="G88" s="774"/>
      <c r="H88" s="774"/>
      <c r="I88" s="774"/>
      <c r="J88" s="775"/>
      <c r="K88" s="704"/>
      <c r="L88" s="704"/>
      <c r="M88" s="703"/>
    </row>
    <row r="89" spans="1:13" s="711" customFormat="1" x14ac:dyDescent="0.25">
      <c r="A89" s="729" t="s">
        <v>2156</v>
      </c>
      <c r="B89" s="776" t="s">
        <v>2102</v>
      </c>
      <c r="C89" s="777" t="s">
        <v>2283</v>
      </c>
      <c r="D89" s="778"/>
      <c r="E89" s="778"/>
      <c r="F89" s="778"/>
      <c r="G89" s="778"/>
      <c r="H89" s="778"/>
      <c r="I89" s="779"/>
      <c r="J89" s="779"/>
      <c r="K89" s="704"/>
      <c r="L89" s="704"/>
      <c r="M89" s="703"/>
    </row>
    <row r="90" spans="1:13" s="711" customFormat="1" x14ac:dyDescent="0.25">
      <c r="A90" s="729"/>
      <c r="B90" s="991" t="s">
        <v>2236</v>
      </c>
      <c r="C90" s="992"/>
      <c r="D90" s="992" t="s">
        <v>2284</v>
      </c>
      <c r="E90" s="993"/>
      <c r="F90" s="993"/>
      <c r="G90" s="993"/>
      <c r="H90" s="993"/>
      <c r="I90" s="779"/>
      <c r="J90" s="779"/>
      <c r="K90" s="704"/>
      <c r="L90" s="704"/>
      <c r="M90" s="703"/>
    </row>
    <row r="91" spans="1:13" s="711" customFormat="1" x14ac:dyDescent="0.25">
      <c r="A91" s="729" t="s">
        <v>2157</v>
      </c>
      <c r="B91" s="776" t="s">
        <v>2103</v>
      </c>
      <c r="C91" s="777" t="s">
        <v>2285</v>
      </c>
      <c r="D91" s="778"/>
      <c r="E91" s="778"/>
      <c r="F91" s="778"/>
      <c r="G91" s="778"/>
      <c r="H91" s="778"/>
      <c r="I91" s="779"/>
      <c r="J91" s="776"/>
      <c r="K91" s="704"/>
      <c r="L91" s="704"/>
      <c r="M91" s="703"/>
    </row>
    <row r="92" spans="1:13" s="711" customFormat="1" x14ac:dyDescent="0.25">
      <c r="A92" s="729" t="s">
        <v>2158</v>
      </c>
      <c r="B92" s="776" t="s">
        <v>2105</v>
      </c>
      <c r="C92" s="777" t="s">
        <v>2286</v>
      </c>
      <c r="D92" s="778"/>
      <c r="E92" s="778"/>
      <c r="F92" s="778"/>
      <c r="G92" s="778"/>
      <c r="H92" s="778"/>
      <c r="I92" s="779"/>
      <c r="J92" s="776"/>
      <c r="K92" s="704"/>
      <c r="L92" s="704"/>
      <c r="M92" s="703"/>
    </row>
    <row r="93" spans="1:13" s="711" customFormat="1" x14ac:dyDescent="0.25">
      <c r="A93" s="729" t="s">
        <v>2159</v>
      </c>
      <c r="B93" s="776" t="s">
        <v>2106</v>
      </c>
      <c r="C93" s="777" t="s">
        <v>2287</v>
      </c>
      <c r="D93" s="778"/>
      <c r="E93" s="778"/>
      <c r="F93" s="778"/>
      <c r="G93" s="778"/>
      <c r="H93" s="778"/>
      <c r="I93" s="779"/>
      <c r="J93" s="776"/>
      <c r="K93" s="704"/>
      <c r="L93" s="704"/>
      <c r="M93" s="703"/>
    </row>
    <row r="94" spans="1:13" s="711" customFormat="1" x14ac:dyDescent="0.25">
      <c r="A94" s="729" t="s">
        <v>2160</v>
      </c>
      <c r="B94" s="776" t="s">
        <v>2107</v>
      </c>
      <c r="C94" s="777" t="s">
        <v>2288</v>
      </c>
      <c r="D94" s="778"/>
      <c r="E94" s="778"/>
      <c r="F94" s="778"/>
      <c r="G94" s="778"/>
      <c r="H94" s="778"/>
      <c r="I94" s="779"/>
      <c r="J94" s="776"/>
      <c r="K94" s="704"/>
      <c r="L94" s="704"/>
      <c r="M94" s="703"/>
    </row>
    <row r="95" spans="1:13" s="711" customFormat="1" x14ac:dyDescent="0.25">
      <c r="A95" s="729" t="s">
        <v>2161</v>
      </c>
      <c r="B95" s="991" t="s">
        <v>2108</v>
      </c>
      <c r="C95" s="992" t="s">
        <v>2289</v>
      </c>
      <c r="D95" s="993"/>
      <c r="E95" s="993"/>
      <c r="F95" s="993"/>
      <c r="G95" s="993"/>
      <c r="H95" s="993"/>
      <c r="I95" s="993"/>
      <c r="J95" s="991"/>
      <c r="K95" s="704"/>
      <c r="L95" s="704"/>
      <c r="M95" s="703"/>
    </row>
    <row r="96" spans="1:13" x14ac:dyDescent="0.25">
      <c r="A96" s="729" t="s">
        <v>2162</v>
      </c>
      <c r="B96" s="991" t="s">
        <v>2109</v>
      </c>
      <c r="C96" s="992" t="s">
        <v>2289</v>
      </c>
      <c r="D96" s="993"/>
      <c r="E96" s="993"/>
      <c r="F96" s="993"/>
      <c r="G96" s="993"/>
      <c r="H96" s="993"/>
      <c r="I96" s="993"/>
      <c r="J96" s="991"/>
    </row>
    <row r="97" spans="1:13" x14ac:dyDescent="0.25">
      <c r="A97" s="729" t="s">
        <v>2163</v>
      </c>
      <c r="B97" s="991" t="s">
        <v>2110</v>
      </c>
      <c r="C97" s="992" t="s">
        <v>2289</v>
      </c>
      <c r="D97" s="993"/>
      <c r="E97" s="993"/>
      <c r="F97" s="993"/>
      <c r="G97" s="993"/>
      <c r="H97" s="993"/>
      <c r="I97" s="993"/>
      <c r="J97" s="991"/>
    </row>
    <row r="98" spans="1:13" x14ac:dyDescent="0.25">
      <c r="A98" s="729" t="s">
        <v>2164</v>
      </c>
      <c r="B98" s="991" t="s">
        <v>2111</v>
      </c>
      <c r="C98" s="992" t="s">
        <v>2290</v>
      </c>
      <c r="D98" s="993"/>
      <c r="E98" s="993"/>
      <c r="F98" s="993"/>
      <c r="G98" s="993"/>
      <c r="H98" s="993"/>
      <c r="I98" s="994"/>
      <c r="J98" s="991"/>
    </row>
    <row r="99" spans="1:13" x14ac:dyDescent="0.25">
      <c r="A99" s="729" t="s">
        <v>2165</v>
      </c>
      <c r="B99" s="991" t="s">
        <v>2112</v>
      </c>
      <c r="C99" s="992" t="s">
        <v>2291</v>
      </c>
      <c r="D99" s="993"/>
      <c r="E99" s="993"/>
      <c r="F99" s="993"/>
      <c r="G99" s="993"/>
      <c r="H99" s="993"/>
      <c r="I99" s="994"/>
      <c r="J99" s="991"/>
    </row>
    <row r="100" spans="1:13" x14ac:dyDescent="0.25">
      <c r="A100" s="729" t="s">
        <v>2166</v>
      </c>
      <c r="B100" s="991" t="s">
        <v>2113</v>
      </c>
      <c r="C100" s="992" t="s">
        <v>2291</v>
      </c>
      <c r="D100" s="993"/>
      <c r="E100" s="993"/>
      <c r="F100" s="993"/>
      <c r="G100" s="993"/>
      <c r="H100" s="993"/>
      <c r="I100" s="994"/>
      <c r="J100" s="991"/>
    </row>
    <row r="101" spans="1:13" x14ac:dyDescent="0.25">
      <c r="A101" s="729" t="s">
        <v>2167</v>
      </c>
      <c r="B101" s="776" t="s">
        <v>2114</v>
      </c>
      <c r="C101" s="777" t="s">
        <v>2292</v>
      </c>
      <c r="D101" s="778"/>
      <c r="E101" s="778"/>
      <c r="F101" s="778"/>
      <c r="G101" s="778"/>
      <c r="H101" s="778"/>
      <c r="I101" s="779"/>
      <c r="J101" s="776"/>
    </row>
    <row r="102" spans="1:13" x14ac:dyDescent="0.25">
      <c r="A102" s="729" t="s">
        <v>2168</v>
      </c>
      <c r="B102" s="776" t="s">
        <v>2115</v>
      </c>
      <c r="C102" s="777" t="s">
        <v>2293</v>
      </c>
      <c r="D102" s="778"/>
      <c r="E102" s="778"/>
      <c r="F102" s="778"/>
      <c r="G102" s="778"/>
      <c r="H102" s="778"/>
      <c r="I102" s="779"/>
      <c r="J102" s="776"/>
    </row>
    <row r="103" spans="1:13" x14ac:dyDescent="0.25">
      <c r="A103" s="729" t="s">
        <v>2169</v>
      </c>
      <c r="B103" s="776" t="s">
        <v>2116</v>
      </c>
      <c r="C103" s="777" t="s">
        <v>2294</v>
      </c>
      <c r="D103" s="778"/>
      <c r="E103" s="778"/>
      <c r="F103" s="778"/>
      <c r="G103" s="778"/>
      <c r="H103" s="778"/>
      <c r="I103" s="779"/>
      <c r="J103" s="776"/>
    </row>
    <row r="104" spans="1:13" x14ac:dyDescent="0.25">
      <c r="A104" s="729" t="s">
        <v>2170</v>
      </c>
      <c r="B104" s="780" t="s">
        <v>77</v>
      </c>
      <c r="C104" s="777"/>
      <c r="D104" s="778"/>
      <c r="E104" s="778"/>
      <c r="F104" s="778"/>
      <c r="G104" s="778"/>
      <c r="H104" s="778"/>
      <c r="I104" s="779"/>
      <c r="J104" s="776"/>
    </row>
    <row r="105" spans="1:13" x14ac:dyDescent="0.25">
      <c r="A105" s="729">
        <v>27</v>
      </c>
    </row>
    <row r="106" spans="1:13" x14ac:dyDescent="0.25">
      <c r="A106" s="729">
        <f t="shared" ref="A106:A112" si="2">A105+1</f>
        <v>28</v>
      </c>
    </row>
    <row r="107" spans="1:13" ht="15.6" x14ac:dyDescent="0.3">
      <c r="A107" s="729">
        <f t="shared" si="2"/>
        <v>29</v>
      </c>
      <c r="B107" s="700" t="s">
        <v>1191</v>
      </c>
    </row>
    <row r="108" spans="1:13" x14ac:dyDescent="0.25">
      <c r="A108" s="729">
        <f t="shared" si="2"/>
        <v>30</v>
      </c>
      <c r="C108" s="713" t="s">
        <v>363</v>
      </c>
      <c r="D108" s="713" t="s">
        <v>347</v>
      </c>
      <c r="E108" s="713" t="s">
        <v>348</v>
      </c>
      <c r="F108" s="713" t="s">
        <v>349</v>
      </c>
      <c r="G108" s="781" t="s">
        <v>350</v>
      </c>
      <c r="H108" s="781" t="s">
        <v>351</v>
      </c>
      <c r="I108" s="781" t="s">
        <v>352</v>
      </c>
      <c r="J108" s="781" t="s">
        <v>541</v>
      </c>
      <c r="K108" s="781" t="s">
        <v>955</v>
      </c>
      <c r="L108" s="781" t="s">
        <v>967</v>
      </c>
      <c r="M108" s="781" t="s">
        <v>970</v>
      </c>
    </row>
    <row r="109" spans="1:13" s="718" customFormat="1" ht="39.6" x14ac:dyDescent="0.25">
      <c r="A109" s="782">
        <f t="shared" si="2"/>
        <v>31</v>
      </c>
      <c r="C109" s="719"/>
      <c r="D109" s="719"/>
      <c r="E109" s="719"/>
      <c r="F109" s="752" t="s">
        <v>2171</v>
      </c>
      <c r="G109" s="783"/>
      <c r="H109" s="752"/>
      <c r="I109" s="1026" t="s">
        <v>2172</v>
      </c>
      <c r="J109" s="1026" t="s">
        <v>2295</v>
      </c>
      <c r="K109" s="1026" t="s">
        <v>2296</v>
      </c>
      <c r="L109" s="1026" t="s">
        <v>2297</v>
      </c>
      <c r="M109" s="1026" t="s">
        <v>2298</v>
      </c>
    </row>
    <row r="110" spans="1:13" s="784" customFormat="1" x14ac:dyDescent="0.25">
      <c r="A110" s="729">
        <f t="shared" si="2"/>
        <v>32</v>
      </c>
      <c r="C110" s="785"/>
      <c r="D110" s="785"/>
      <c r="E110" s="785"/>
      <c r="F110" s="786"/>
      <c r="G110" s="787"/>
      <c r="H110" s="786"/>
      <c r="I110" s="1013" t="s">
        <v>2299</v>
      </c>
      <c r="J110" s="1027"/>
      <c r="K110" s="786"/>
      <c r="L110" s="786"/>
      <c r="M110" s="786"/>
    </row>
    <row r="111" spans="1:13" ht="21.75" customHeight="1" x14ac:dyDescent="0.25">
      <c r="A111" s="729">
        <f t="shared" si="2"/>
        <v>33</v>
      </c>
      <c r="B111" s="788"/>
      <c r="C111" s="1215" t="s">
        <v>1462</v>
      </c>
      <c r="D111" s="1216"/>
      <c r="E111" s="1216"/>
      <c r="F111" s="1219"/>
      <c r="G111" s="788"/>
      <c r="H111" s="789"/>
      <c r="I111" s="790"/>
      <c r="J111" s="790"/>
      <c r="K111" s="788"/>
      <c r="L111" s="1161" t="s">
        <v>149</v>
      </c>
      <c r="M111" s="791"/>
    </row>
    <row r="112" spans="1:13" s="748" customFormat="1" ht="51.75" customHeight="1" x14ac:dyDescent="0.25">
      <c r="A112" s="729">
        <f t="shared" si="2"/>
        <v>34</v>
      </c>
      <c r="B112" s="792" t="str">
        <f>B11</f>
        <v>CPUC Rate Group</v>
      </c>
      <c r="C112" s="1028"/>
      <c r="D112" s="1029"/>
      <c r="E112" s="1029"/>
      <c r="F112" s="792" t="s">
        <v>2173</v>
      </c>
      <c r="G112" s="792" t="s">
        <v>1192</v>
      </c>
      <c r="H112" s="793" t="s">
        <v>2300</v>
      </c>
      <c r="I112" s="1030" t="s">
        <v>2301</v>
      </c>
      <c r="J112" s="792" t="s">
        <v>2244</v>
      </c>
      <c r="K112" s="792" t="s">
        <v>2302</v>
      </c>
      <c r="L112" s="792" t="s">
        <v>1463</v>
      </c>
      <c r="M112" s="792" t="s">
        <v>2174</v>
      </c>
    </row>
    <row r="113" spans="1:13" x14ac:dyDescent="0.25">
      <c r="A113" s="729" t="s">
        <v>2175</v>
      </c>
      <c r="B113" s="448" t="str">
        <f>B12</f>
        <v>Domestic</v>
      </c>
      <c r="C113" s="1031"/>
      <c r="D113" s="1031"/>
      <c r="E113" s="1031"/>
      <c r="F113" s="1049" t="s">
        <v>77</v>
      </c>
      <c r="G113" s="796"/>
      <c r="H113" s="797"/>
      <c r="I113" s="1049" t="s">
        <v>77</v>
      </c>
      <c r="J113" s="1049" t="s">
        <v>77</v>
      </c>
      <c r="K113" s="1049" t="s">
        <v>77</v>
      </c>
      <c r="L113" s="1049" t="s">
        <v>77</v>
      </c>
      <c r="M113" s="1036" t="s">
        <v>2193</v>
      </c>
    </row>
    <row r="114" spans="1:13" x14ac:dyDescent="0.25">
      <c r="A114" s="729" t="s">
        <v>2176</v>
      </c>
      <c r="B114" s="448" t="str">
        <f>B13</f>
        <v>GS-1</v>
      </c>
      <c r="C114" s="1031"/>
      <c r="D114" s="1031"/>
      <c r="E114" s="1031"/>
      <c r="F114" s="1049" t="s">
        <v>77</v>
      </c>
      <c r="G114" s="796"/>
      <c r="H114" s="797"/>
      <c r="I114" s="1049" t="s">
        <v>77</v>
      </c>
      <c r="J114" s="1049" t="s">
        <v>77</v>
      </c>
      <c r="K114" s="1049" t="s">
        <v>77</v>
      </c>
      <c r="L114" s="1049" t="s">
        <v>77</v>
      </c>
      <c r="M114" s="1036" t="s">
        <v>2193</v>
      </c>
    </row>
    <row r="115" spans="1:13" x14ac:dyDescent="0.25">
      <c r="A115" s="729" t="s">
        <v>2177</v>
      </c>
      <c r="B115" s="448" t="str">
        <f t="shared" ref="B115:B126" si="3">B15</f>
        <v>TC-1</v>
      </c>
      <c r="C115" s="1031"/>
      <c r="D115" s="1031"/>
      <c r="E115" s="1031"/>
      <c r="F115" s="1049" t="s">
        <v>77</v>
      </c>
      <c r="G115" s="796"/>
      <c r="H115" s="797"/>
      <c r="I115" s="1049" t="s">
        <v>77</v>
      </c>
      <c r="J115" s="1049" t="s">
        <v>77</v>
      </c>
      <c r="K115" s="1049" t="s">
        <v>77</v>
      </c>
      <c r="L115" s="1049" t="s">
        <v>77</v>
      </c>
      <c r="M115" s="1036" t="s">
        <v>2193</v>
      </c>
    </row>
    <row r="116" spans="1:13" x14ac:dyDescent="0.25">
      <c r="A116" s="729" t="s">
        <v>2178</v>
      </c>
      <c r="B116" s="448" t="str">
        <f t="shared" si="3"/>
        <v>GS-2</v>
      </c>
      <c r="C116" s="1031"/>
      <c r="D116" s="1031"/>
      <c r="E116" s="1031"/>
      <c r="F116" s="1049" t="s">
        <v>77</v>
      </c>
      <c r="G116" s="796"/>
      <c r="H116" s="797"/>
      <c r="I116" s="1049" t="s">
        <v>77</v>
      </c>
      <c r="J116" s="1049" t="s">
        <v>77</v>
      </c>
      <c r="K116" s="1049" t="s">
        <v>77</v>
      </c>
      <c r="L116" s="1049" t="s">
        <v>77</v>
      </c>
      <c r="M116" s="1036" t="s">
        <v>2193</v>
      </c>
    </row>
    <row r="117" spans="1:13" x14ac:dyDescent="0.25">
      <c r="A117" s="729" t="s">
        <v>2179</v>
      </c>
      <c r="B117" s="448" t="str">
        <f t="shared" si="3"/>
        <v>TOU-GS-3</v>
      </c>
      <c r="C117" s="1031"/>
      <c r="D117" s="1031"/>
      <c r="E117" s="1031"/>
      <c r="F117" s="1049" t="s">
        <v>77</v>
      </c>
      <c r="G117" s="796"/>
      <c r="H117" s="797"/>
      <c r="I117" s="1049" t="s">
        <v>77</v>
      </c>
      <c r="J117" s="1049" t="s">
        <v>77</v>
      </c>
      <c r="K117" s="1049" t="s">
        <v>77</v>
      </c>
      <c r="L117" s="1049" t="s">
        <v>77</v>
      </c>
      <c r="M117" s="1036" t="s">
        <v>2193</v>
      </c>
    </row>
    <row r="118" spans="1:13" x14ac:dyDescent="0.25">
      <c r="A118" s="729" t="s">
        <v>2180</v>
      </c>
      <c r="B118" s="448" t="str">
        <f t="shared" si="3"/>
        <v>TOU-8-SEC</v>
      </c>
      <c r="C118" s="1031"/>
      <c r="D118" s="1031"/>
      <c r="E118" s="1031"/>
      <c r="F118" s="1049" t="s">
        <v>77</v>
      </c>
      <c r="G118" s="796"/>
      <c r="H118" s="1033"/>
      <c r="I118" s="1049" t="s">
        <v>77</v>
      </c>
      <c r="J118" s="1049" t="s">
        <v>77</v>
      </c>
      <c r="K118" s="1049" t="s">
        <v>77</v>
      </c>
      <c r="L118" s="1049" t="s">
        <v>77</v>
      </c>
      <c r="M118" s="1036" t="s">
        <v>2193</v>
      </c>
    </row>
    <row r="119" spans="1:13" x14ac:dyDescent="0.25">
      <c r="A119" s="729" t="s">
        <v>2181</v>
      </c>
      <c r="B119" s="448" t="str">
        <f t="shared" si="3"/>
        <v>TOU-8-PRI</v>
      </c>
      <c r="C119" s="1031"/>
      <c r="D119" s="1031"/>
      <c r="E119" s="1031"/>
      <c r="F119" s="1049" t="s">
        <v>77</v>
      </c>
      <c r="G119" s="796"/>
      <c r="H119" s="1033"/>
      <c r="I119" s="1049" t="s">
        <v>77</v>
      </c>
      <c r="J119" s="1049" t="s">
        <v>77</v>
      </c>
      <c r="K119" s="1049" t="s">
        <v>77</v>
      </c>
      <c r="L119" s="1049" t="s">
        <v>77</v>
      </c>
      <c r="M119" s="1036" t="s">
        <v>2193</v>
      </c>
    </row>
    <row r="120" spans="1:13" x14ac:dyDescent="0.25">
      <c r="A120" s="729" t="s">
        <v>2182</v>
      </c>
      <c r="B120" s="448" t="str">
        <f t="shared" si="3"/>
        <v>TOU-8-SUB</v>
      </c>
      <c r="C120" s="1031"/>
      <c r="D120" s="1031"/>
      <c r="E120" s="1031"/>
      <c r="F120" s="1049" t="s">
        <v>77</v>
      </c>
      <c r="G120" s="796"/>
      <c r="H120" s="1033"/>
      <c r="I120" s="1049" t="s">
        <v>77</v>
      </c>
      <c r="J120" s="1049" t="s">
        <v>77</v>
      </c>
      <c r="K120" s="1049" t="s">
        <v>77</v>
      </c>
      <c r="L120" s="1049" t="s">
        <v>77</v>
      </c>
      <c r="M120" s="1036" t="s">
        <v>2193</v>
      </c>
    </row>
    <row r="121" spans="1:13" x14ac:dyDescent="0.25">
      <c r="A121" s="729" t="s">
        <v>2183</v>
      </c>
      <c r="B121" s="448" t="str">
        <f t="shared" si="3"/>
        <v>TOU-8-Standby-SEC</v>
      </c>
      <c r="C121" s="1031"/>
      <c r="D121" s="1031"/>
      <c r="E121" s="1031"/>
      <c r="F121" s="1049" t="s">
        <v>77</v>
      </c>
      <c r="G121" s="796"/>
      <c r="H121" s="1033"/>
      <c r="I121" s="1049" t="s">
        <v>77</v>
      </c>
      <c r="J121" s="1049" t="s">
        <v>77</v>
      </c>
      <c r="K121" s="1049" t="s">
        <v>77</v>
      </c>
      <c r="L121" s="1049" t="s">
        <v>77</v>
      </c>
      <c r="M121" s="1036" t="s">
        <v>2193</v>
      </c>
    </row>
    <row r="122" spans="1:13" x14ac:dyDescent="0.25">
      <c r="A122" s="729" t="s">
        <v>2184</v>
      </c>
      <c r="B122" s="448" t="str">
        <f t="shared" si="3"/>
        <v>TOU-8-Standby-PRI</v>
      </c>
      <c r="C122" s="1031"/>
      <c r="D122" s="1031"/>
      <c r="E122" s="1031"/>
      <c r="F122" s="1049" t="s">
        <v>77</v>
      </c>
      <c r="G122" s="796"/>
      <c r="H122" s="1033"/>
      <c r="I122" s="1049" t="s">
        <v>77</v>
      </c>
      <c r="J122" s="1049" t="s">
        <v>77</v>
      </c>
      <c r="K122" s="1049" t="s">
        <v>77</v>
      </c>
      <c r="L122" s="1049" t="s">
        <v>77</v>
      </c>
      <c r="M122" s="1036" t="s">
        <v>2193</v>
      </c>
    </row>
    <row r="123" spans="1:13" x14ac:dyDescent="0.25">
      <c r="A123" s="729" t="s">
        <v>2185</v>
      </c>
      <c r="B123" s="448" t="str">
        <f t="shared" si="3"/>
        <v>TOU-8-Standby-SUB</v>
      </c>
      <c r="C123" s="1005"/>
      <c r="D123" s="1005"/>
      <c r="E123" s="1005"/>
      <c r="F123" s="1049" t="s">
        <v>77</v>
      </c>
      <c r="G123" s="796"/>
      <c r="H123" s="1033"/>
      <c r="I123" s="1049" t="s">
        <v>77</v>
      </c>
      <c r="J123" s="1049" t="s">
        <v>77</v>
      </c>
      <c r="K123" s="1049" t="s">
        <v>77</v>
      </c>
      <c r="L123" s="1049" t="s">
        <v>77</v>
      </c>
      <c r="M123" s="1036" t="s">
        <v>2193</v>
      </c>
    </row>
    <row r="124" spans="1:13" x14ac:dyDescent="0.25">
      <c r="A124" s="729" t="s">
        <v>2186</v>
      </c>
      <c r="B124" s="448" t="str">
        <f t="shared" si="3"/>
        <v>TOU-PA-2</v>
      </c>
      <c r="C124" s="1031"/>
      <c r="D124" s="1031"/>
      <c r="E124" s="1031"/>
      <c r="F124" s="1049" t="s">
        <v>77</v>
      </c>
      <c r="G124" s="796"/>
      <c r="H124" s="797"/>
      <c r="I124" s="1049" t="s">
        <v>77</v>
      </c>
      <c r="J124" s="1049" t="s">
        <v>77</v>
      </c>
      <c r="K124" s="1049" t="s">
        <v>77</v>
      </c>
      <c r="L124" s="1049" t="s">
        <v>77</v>
      </c>
      <c r="M124" s="1036" t="s">
        <v>2193</v>
      </c>
    </row>
    <row r="125" spans="1:13" x14ac:dyDescent="0.25">
      <c r="A125" s="729" t="s">
        <v>2187</v>
      </c>
      <c r="B125" s="448" t="str">
        <f t="shared" si="3"/>
        <v>TOU-PA-3</v>
      </c>
      <c r="C125" s="1031"/>
      <c r="D125" s="1031"/>
      <c r="E125" s="1031"/>
      <c r="F125" s="1049" t="s">
        <v>77</v>
      </c>
      <c r="G125" s="796"/>
      <c r="H125" s="797"/>
      <c r="I125" s="1049" t="s">
        <v>77</v>
      </c>
      <c r="J125" s="1049" t="s">
        <v>77</v>
      </c>
      <c r="K125" s="1049" t="s">
        <v>77</v>
      </c>
      <c r="L125" s="1049" t="s">
        <v>77</v>
      </c>
      <c r="M125" s="1036" t="s">
        <v>2193</v>
      </c>
    </row>
    <row r="126" spans="1:13" x14ac:dyDescent="0.25">
      <c r="A126" s="729" t="s">
        <v>2188</v>
      </c>
      <c r="B126" s="448" t="str">
        <f t="shared" si="3"/>
        <v>Street Lighting</v>
      </c>
      <c r="C126" s="1031"/>
      <c r="D126" s="1031"/>
      <c r="E126" s="1031"/>
      <c r="F126" s="1049" t="s">
        <v>77</v>
      </c>
      <c r="G126" s="796"/>
      <c r="H126" s="797"/>
      <c r="I126" s="1049" t="s">
        <v>77</v>
      </c>
      <c r="J126" s="1049" t="s">
        <v>77</v>
      </c>
      <c r="K126" s="1049" t="s">
        <v>77</v>
      </c>
      <c r="L126" s="1049" t="s">
        <v>77</v>
      </c>
      <c r="M126" s="1036" t="s">
        <v>2193</v>
      </c>
    </row>
    <row r="127" spans="1:13" x14ac:dyDescent="0.25">
      <c r="A127" s="729" t="s">
        <v>2189</v>
      </c>
      <c r="B127" s="744" t="s">
        <v>77</v>
      </c>
      <c r="C127" s="794"/>
      <c r="D127" s="794"/>
      <c r="E127" s="794"/>
      <c r="F127" s="795"/>
      <c r="G127" s="796"/>
      <c r="H127" s="797"/>
      <c r="I127" s="701"/>
      <c r="J127" s="701"/>
      <c r="K127" s="749"/>
      <c r="L127" s="795"/>
      <c r="M127" s="1032"/>
    </row>
    <row r="128" spans="1:13" x14ac:dyDescent="0.25">
      <c r="A128" s="729">
        <v>36</v>
      </c>
      <c r="B128" s="451" t="s">
        <v>198</v>
      </c>
      <c r="C128" s="1037" t="s">
        <v>77</v>
      </c>
      <c r="D128" s="1037" t="s">
        <v>77</v>
      </c>
      <c r="E128" s="1037" t="s">
        <v>77</v>
      </c>
      <c r="F128" s="1037" t="s">
        <v>77</v>
      </c>
      <c r="G128" s="1037" t="s">
        <v>77</v>
      </c>
      <c r="H128" s="1037" t="s">
        <v>77</v>
      </c>
      <c r="I128" s="1037" t="s">
        <v>77</v>
      </c>
      <c r="J128" s="1037" t="s">
        <v>77</v>
      </c>
      <c r="K128" s="1037" t="s">
        <v>77</v>
      </c>
      <c r="L128" s="1037" t="s">
        <v>77</v>
      </c>
      <c r="M128" s="1034" t="s">
        <v>2193</v>
      </c>
    </row>
    <row r="129" spans="10:13" x14ac:dyDescent="0.25">
      <c r="J129" s="798"/>
      <c r="L129" s="759"/>
      <c r="M129" s="760"/>
    </row>
    <row r="130" spans="10:13" x14ac:dyDescent="0.25">
      <c r="J130" s="798"/>
      <c r="L130" s="759"/>
      <c r="M130" s="760"/>
    </row>
    <row r="131" spans="10:13" x14ac:dyDescent="0.25">
      <c r="J131" s="798"/>
      <c r="L131" s="759"/>
      <c r="M131" s="760"/>
    </row>
    <row r="132" spans="10:13" x14ac:dyDescent="0.25">
      <c r="J132" s="798"/>
      <c r="L132" s="759"/>
      <c r="M132" s="760"/>
    </row>
    <row r="133" spans="10:13" x14ac:dyDescent="0.25">
      <c r="J133" s="798"/>
      <c r="L133" s="759"/>
      <c r="M133" s="760"/>
    </row>
    <row r="134" spans="10:13" x14ac:dyDescent="0.25">
      <c r="J134" s="798"/>
      <c r="L134" s="759"/>
      <c r="M134" s="760"/>
    </row>
    <row r="135" spans="10:13" x14ac:dyDescent="0.25">
      <c r="J135" s="798"/>
      <c r="L135" s="759"/>
      <c r="M135" s="760"/>
    </row>
    <row r="136" spans="10:13" x14ac:dyDescent="0.25">
      <c r="J136" s="798"/>
      <c r="L136" s="759"/>
      <c r="M136" s="760"/>
    </row>
    <row r="137" spans="10:13" x14ac:dyDescent="0.25">
      <c r="J137" s="798"/>
      <c r="L137" s="759"/>
      <c r="M137" s="760"/>
    </row>
    <row r="138" spans="10:13" x14ac:dyDescent="0.25">
      <c r="L138" s="759"/>
    </row>
    <row r="142" spans="10:13" x14ac:dyDescent="0.25">
      <c r="M142" s="704"/>
    </row>
    <row r="143" spans="10:13" x14ac:dyDescent="0.25">
      <c r="M143" s="704"/>
    </row>
    <row r="144" spans="10:13" x14ac:dyDescent="0.25">
      <c r="M144" s="704"/>
    </row>
    <row r="145" spans="13:13" x14ac:dyDescent="0.25">
      <c r="M145" s="704"/>
    </row>
    <row r="146" spans="13:13" x14ac:dyDescent="0.25">
      <c r="M146" s="704"/>
    </row>
    <row r="147" spans="13:13" x14ac:dyDescent="0.25">
      <c r="M147" s="704"/>
    </row>
    <row r="148" spans="13:13" x14ac:dyDescent="0.25">
      <c r="M148" s="704"/>
    </row>
    <row r="149" spans="13:13" x14ac:dyDescent="0.25">
      <c r="M149" s="704"/>
    </row>
    <row r="150" spans="13:13" x14ac:dyDescent="0.25">
      <c r="M150" s="704"/>
    </row>
    <row r="151" spans="13:13" x14ac:dyDescent="0.25">
      <c r="M151" s="704"/>
    </row>
    <row r="152" spans="13:13" x14ac:dyDescent="0.25">
      <c r="M152" s="704"/>
    </row>
    <row r="153" spans="13:13" x14ac:dyDescent="0.25">
      <c r="M153" s="704"/>
    </row>
    <row r="154" spans="13:13" x14ac:dyDescent="0.25">
      <c r="M154" s="704"/>
    </row>
    <row r="155" spans="13:13" x14ac:dyDescent="0.25">
      <c r="M155" s="704"/>
    </row>
    <row r="156" spans="13:13" x14ac:dyDescent="0.25">
      <c r="M156" s="704"/>
    </row>
    <row r="157" spans="13:13" x14ac:dyDescent="0.25">
      <c r="M157" s="704"/>
    </row>
    <row r="158" spans="13:13" x14ac:dyDescent="0.25">
      <c r="M158" s="704"/>
    </row>
    <row r="159" spans="13:13" x14ac:dyDescent="0.25">
      <c r="M159" s="704"/>
    </row>
    <row r="160" spans="13:13" x14ac:dyDescent="0.25">
      <c r="M160" s="704"/>
    </row>
    <row r="161" spans="13:13" x14ac:dyDescent="0.25">
      <c r="M161" s="704"/>
    </row>
    <row r="162" spans="13:13" x14ac:dyDescent="0.25">
      <c r="M162" s="704"/>
    </row>
    <row r="163" spans="13:13" x14ac:dyDescent="0.25">
      <c r="M163" s="704"/>
    </row>
    <row r="164" spans="13:13" x14ac:dyDescent="0.25">
      <c r="M164" s="704"/>
    </row>
    <row r="165" spans="13:13" x14ac:dyDescent="0.25">
      <c r="M165" s="704"/>
    </row>
    <row r="166" spans="13:13" x14ac:dyDescent="0.25">
      <c r="M166" s="704"/>
    </row>
    <row r="167" spans="13:13" x14ac:dyDescent="0.25">
      <c r="M167" s="704"/>
    </row>
    <row r="168" spans="13:13" x14ac:dyDescent="0.25">
      <c r="M168" s="704"/>
    </row>
    <row r="169" spans="13:13" x14ac:dyDescent="0.25">
      <c r="M169" s="704"/>
    </row>
    <row r="170" spans="13:13" x14ac:dyDescent="0.25">
      <c r="M170" s="704"/>
    </row>
    <row r="171" spans="13:13" x14ac:dyDescent="0.25">
      <c r="M171" s="704"/>
    </row>
    <row r="172" spans="13:13" x14ac:dyDescent="0.25">
      <c r="M172" s="704"/>
    </row>
    <row r="173" spans="13:13" x14ac:dyDescent="0.25">
      <c r="M173" s="704"/>
    </row>
    <row r="174" spans="13:13" x14ac:dyDescent="0.25">
      <c r="M174" s="704"/>
    </row>
    <row r="175" spans="13:13" x14ac:dyDescent="0.25">
      <c r="M175" s="704"/>
    </row>
    <row r="176" spans="13:13" x14ac:dyDescent="0.25">
      <c r="M176" s="704"/>
    </row>
    <row r="177" spans="13:13" x14ac:dyDescent="0.25">
      <c r="M177" s="704"/>
    </row>
    <row r="178" spans="13:13" x14ac:dyDescent="0.25">
      <c r="M178" s="704"/>
    </row>
    <row r="179" spans="13:13" x14ac:dyDescent="0.25">
      <c r="M179" s="704"/>
    </row>
    <row r="180" spans="13:13" x14ac:dyDescent="0.25">
      <c r="M180" s="704"/>
    </row>
    <row r="181" spans="13:13" x14ac:dyDescent="0.25">
      <c r="M181" s="704"/>
    </row>
    <row r="182" spans="13:13" x14ac:dyDescent="0.25">
      <c r="M182" s="704"/>
    </row>
    <row r="183" spans="13:13" x14ac:dyDescent="0.25">
      <c r="M183" s="704"/>
    </row>
    <row r="184" spans="13:13" x14ac:dyDescent="0.25">
      <c r="M184" s="704"/>
    </row>
    <row r="185" spans="13:13" x14ac:dyDescent="0.25">
      <c r="M185" s="704"/>
    </row>
    <row r="186" spans="13:13" x14ac:dyDescent="0.25">
      <c r="M186" s="704"/>
    </row>
    <row r="187" spans="13:13" x14ac:dyDescent="0.25">
      <c r="M187" s="704"/>
    </row>
    <row r="188" spans="13:13" x14ac:dyDescent="0.25">
      <c r="M188" s="704"/>
    </row>
    <row r="189" spans="13:13" x14ac:dyDescent="0.25">
      <c r="M189" s="704"/>
    </row>
    <row r="190" spans="13:13" x14ac:dyDescent="0.25">
      <c r="M190" s="704"/>
    </row>
    <row r="191" spans="13:13" x14ac:dyDescent="0.25">
      <c r="M191" s="704"/>
    </row>
    <row r="192" spans="13:13" x14ac:dyDescent="0.25">
      <c r="M192" s="704"/>
    </row>
    <row r="193" spans="13:13" x14ac:dyDescent="0.25">
      <c r="M193" s="704"/>
    </row>
    <row r="194" spans="13:13" x14ac:dyDescent="0.25">
      <c r="M194" s="704"/>
    </row>
    <row r="195" spans="13:13" x14ac:dyDescent="0.25">
      <c r="M195" s="704"/>
    </row>
    <row r="196" spans="13:13" x14ac:dyDescent="0.25">
      <c r="M196" s="704"/>
    </row>
    <row r="197" spans="13:13" x14ac:dyDescent="0.25">
      <c r="M197" s="704"/>
    </row>
    <row r="198" spans="13:13" x14ac:dyDescent="0.25">
      <c r="M198" s="704"/>
    </row>
    <row r="199" spans="13:13" x14ac:dyDescent="0.25">
      <c r="M199" s="704"/>
    </row>
    <row r="200" spans="13:13" x14ac:dyDescent="0.25">
      <c r="M200" s="704"/>
    </row>
    <row r="201" spans="13:13" x14ac:dyDescent="0.25">
      <c r="M201" s="704"/>
    </row>
    <row r="202" spans="13:13" x14ac:dyDescent="0.25">
      <c r="M202" s="704"/>
    </row>
    <row r="203" spans="13:13" x14ac:dyDescent="0.25">
      <c r="M203" s="704"/>
    </row>
    <row r="204" spans="13:13" x14ac:dyDescent="0.25">
      <c r="M204" s="704"/>
    </row>
    <row r="205" spans="13:13" x14ac:dyDescent="0.25">
      <c r="M205" s="704"/>
    </row>
    <row r="206" spans="13:13" x14ac:dyDescent="0.25">
      <c r="M206" s="704"/>
    </row>
    <row r="207" spans="13:13" x14ac:dyDescent="0.25">
      <c r="M207" s="704"/>
    </row>
    <row r="208" spans="13:13" x14ac:dyDescent="0.25">
      <c r="M208" s="704"/>
    </row>
    <row r="209" spans="13:13" x14ac:dyDescent="0.25">
      <c r="M209" s="704"/>
    </row>
    <row r="210" spans="13:13" x14ac:dyDescent="0.25">
      <c r="M210" s="704"/>
    </row>
    <row r="211" spans="13:13" x14ac:dyDescent="0.25">
      <c r="M211" s="704"/>
    </row>
    <row r="212" spans="13:13" x14ac:dyDescent="0.25">
      <c r="M212" s="704"/>
    </row>
    <row r="213" spans="13:13" x14ac:dyDescent="0.25">
      <c r="M213" s="704"/>
    </row>
    <row r="214" spans="13:13" x14ac:dyDescent="0.25">
      <c r="M214" s="704"/>
    </row>
    <row r="215" spans="13:13" x14ac:dyDescent="0.25">
      <c r="M215" s="704"/>
    </row>
    <row r="216" spans="13:13" x14ac:dyDescent="0.25">
      <c r="M216" s="704"/>
    </row>
    <row r="217" spans="13:13" x14ac:dyDescent="0.25">
      <c r="M217" s="704"/>
    </row>
    <row r="218" spans="13:13" x14ac:dyDescent="0.25">
      <c r="M218" s="704"/>
    </row>
    <row r="219" spans="13:13" x14ac:dyDescent="0.25">
      <c r="M219" s="704"/>
    </row>
    <row r="220" spans="13:13" x14ac:dyDescent="0.25">
      <c r="M220" s="704"/>
    </row>
    <row r="221" spans="13:13" x14ac:dyDescent="0.25">
      <c r="M221" s="704"/>
    </row>
    <row r="222" spans="13:13" x14ac:dyDescent="0.25">
      <c r="M222" s="704"/>
    </row>
    <row r="223" spans="13:13" x14ac:dyDescent="0.25">
      <c r="M223" s="704"/>
    </row>
    <row r="224" spans="13:13" x14ac:dyDescent="0.25">
      <c r="M224" s="704"/>
    </row>
    <row r="225" spans="13:13" x14ac:dyDescent="0.25">
      <c r="M225" s="704"/>
    </row>
    <row r="226" spans="13:13" x14ac:dyDescent="0.25">
      <c r="M226" s="704"/>
    </row>
    <row r="227" spans="13:13" x14ac:dyDescent="0.25">
      <c r="M227" s="704"/>
    </row>
    <row r="228" spans="13:13" x14ac:dyDescent="0.25">
      <c r="M228" s="704"/>
    </row>
    <row r="229" spans="13:13" x14ac:dyDescent="0.25">
      <c r="M229" s="704"/>
    </row>
    <row r="230" spans="13:13" x14ac:dyDescent="0.25">
      <c r="M230" s="704"/>
    </row>
    <row r="231" spans="13:13" x14ac:dyDescent="0.25">
      <c r="M231" s="704"/>
    </row>
    <row r="232" spans="13:13" x14ac:dyDescent="0.25">
      <c r="M232" s="704"/>
    </row>
    <row r="233" spans="13:13" x14ac:dyDescent="0.25">
      <c r="M233" s="704"/>
    </row>
    <row r="234" spans="13:13" x14ac:dyDescent="0.25">
      <c r="M234" s="704"/>
    </row>
    <row r="235" spans="13:13" x14ac:dyDescent="0.25">
      <c r="M235" s="704"/>
    </row>
    <row r="236" spans="13:13" x14ac:dyDescent="0.25">
      <c r="M236" s="704"/>
    </row>
    <row r="237" spans="13:13" x14ac:dyDescent="0.25">
      <c r="M237" s="704"/>
    </row>
    <row r="238" spans="13:13" x14ac:dyDescent="0.25">
      <c r="M238" s="704"/>
    </row>
    <row r="239" spans="13:13" x14ac:dyDescent="0.25">
      <c r="M239" s="704"/>
    </row>
    <row r="240" spans="13:13" x14ac:dyDescent="0.25">
      <c r="M240" s="704"/>
    </row>
    <row r="241" spans="13:13" x14ac:dyDescent="0.25">
      <c r="M241" s="704"/>
    </row>
    <row r="242" spans="13:13" x14ac:dyDescent="0.25">
      <c r="M242" s="704"/>
    </row>
    <row r="243" spans="13:13" x14ac:dyDescent="0.25">
      <c r="M243" s="704"/>
    </row>
    <row r="244" spans="13:13" x14ac:dyDescent="0.25">
      <c r="M244" s="704"/>
    </row>
    <row r="245" spans="13:13" x14ac:dyDescent="0.25">
      <c r="M245" s="704"/>
    </row>
    <row r="246" spans="13:13" x14ac:dyDescent="0.25">
      <c r="M246" s="704"/>
    </row>
    <row r="247" spans="13:13" x14ac:dyDescent="0.25">
      <c r="M247" s="704"/>
    </row>
    <row r="248" spans="13:13" x14ac:dyDescent="0.25">
      <c r="M248" s="704"/>
    </row>
    <row r="249" spans="13:13" x14ac:dyDescent="0.25">
      <c r="M249" s="704"/>
    </row>
    <row r="250" spans="13:13" x14ac:dyDescent="0.25">
      <c r="M250" s="704"/>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L169"/>
  <sheetViews>
    <sheetView topLeftCell="A88" zoomScaleNormal="100" zoomScalePageLayoutView="85" workbookViewId="0"/>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167</v>
      </c>
    </row>
    <row r="2" spans="1:12" x14ac:dyDescent="0.25">
      <c r="I2" s="86" t="s">
        <v>304</v>
      </c>
      <c r="J2" s="86"/>
      <c r="K2" s="13"/>
      <c r="L2" s="13"/>
    </row>
    <row r="3" spans="1:12" x14ac:dyDescent="0.25">
      <c r="A3" s="1" t="s">
        <v>168</v>
      </c>
      <c r="L3" s="13"/>
    </row>
    <row r="4" spans="1:12" x14ac:dyDescent="0.25">
      <c r="H4" s="2"/>
      <c r="I4" s="2" t="s">
        <v>170</v>
      </c>
      <c r="K4" s="216" t="s">
        <v>1388</v>
      </c>
    </row>
    <row r="5" spans="1:12" x14ac:dyDescent="0.25">
      <c r="A5" s="46" t="s">
        <v>322</v>
      </c>
      <c r="H5" s="3" t="s">
        <v>169</v>
      </c>
      <c r="I5" s="3" t="s">
        <v>171</v>
      </c>
      <c r="K5" s="3" t="s">
        <v>172</v>
      </c>
    </row>
    <row r="7" spans="1:12" x14ac:dyDescent="0.25">
      <c r="A7" s="9" t="s">
        <v>177</v>
      </c>
      <c r="B7" s="10"/>
      <c r="C7" s="10"/>
      <c r="D7" s="10"/>
      <c r="E7" s="10"/>
      <c r="F7" s="10"/>
      <c r="G7" s="10"/>
      <c r="H7" s="8"/>
      <c r="I7" s="8"/>
      <c r="J7" s="8"/>
      <c r="K7" s="8"/>
    </row>
    <row r="9" spans="1:12" x14ac:dyDescent="0.25">
      <c r="A9" s="2">
        <v>1</v>
      </c>
      <c r="B9" s="43" t="s">
        <v>1049</v>
      </c>
      <c r="I9" s="14" t="str">
        <f>"6-PlantInService, Line "&amp;'6-PlantInService'!A43&amp;""</f>
        <v>6-PlantInService, Line 19</v>
      </c>
      <c r="K9" s="924">
        <v>0</v>
      </c>
    </row>
    <row r="10" spans="1:12" x14ac:dyDescent="0.25">
      <c r="A10" s="2">
        <f>A9+1</f>
        <v>2</v>
      </c>
      <c r="B10" s="43" t="s">
        <v>320</v>
      </c>
      <c r="I10" s="14" t="str">
        <f>"6-PlantInService, Line "&amp;'6-PlantInService'!A63&amp;""</f>
        <v>6-PlantInService, Line 27</v>
      </c>
      <c r="K10" s="924">
        <v>0</v>
      </c>
    </row>
    <row r="11" spans="1:12" x14ac:dyDescent="0.25">
      <c r="A11" s="2">
        <f>A10+1</f>
        <v>3</v>
      </c>
      <c r="B11" s="43" t="s">
        <v>158</v>
      </c>
      <c r="I11" s="14" t="str">
        <f>"11-PHFU, Line "&amp;'11-PHFU'!A38&amp;""</f>
        <v>11-PHFU, Line 8</v>
      </c>
      <c r="K11" s="924">
        <v>0</v>
      </c>
    </row>
    <row r="12" spans="1:12" x14ac:dyDescent="0.25">
      <c r="A12" s="2">
        <f>A11+1</f>
        <v>4</v>
      </c>
      <c r="B12" s="93" t="s">
        <v>315</v>
      </c>
      <c r="C12" s="13"/>
      <c r="D12" s="13"/>
      <c r="E12" s="13"/>
      <c r="F12" s="13"/>
      <c r="G12" s="13"/>
      <c r="H12" s="13"/>
      <c r="I12" s="14" t="str">
        <f>"12-AbandonedPlant, Line "&amp;'12-AbandonedPlant'!A20&amp;""</f>
        <v>12-AbandonedPlant, Line 3</v>
      </c>
      <c r="K12" s="924">
        <v>0</v>
      </c>
    </row>
    <row r="13" spans="1:12" x14ac:dyDescent="0.25">
      <c r="A13" s="2"/>
      <c r="B13" s="93"/>
      <c r="C13" s="13"/>
      <c r="D13" s="13"/>
      <c r="E13" s="13"/>
      <c r="F13" s="13"/>
      <c r="G13" s="13"/>
      <c r="H13" s="13"/>
      <c r="I13" s="13"/>
      <c r="K13" s="6"/>
    </row>
    <row r="14" spans="1:12" x14ac:dyDescent="0.25">
      <c r="A14" s="2"/>
      <c r="B14" s="39" t="s">
        <v>246</v>
      </c>
      <c r="C14" s="13"/>
      <c r="D14" s="13"/>
      <c r="E14" s="13"/>
      <c r="F14" s="13"/>
      <c r="G14" s="13"/>
      <c r="H14" s="13"/>
      <c r="I14" s="13"/>
      <c r="K14" s="6"/>
    </row>
    <row r="15" spans="1:12" x14ac:dyDescent="0.25">
      <c r="A15" s="2">
        <f>A12+1</f>
        <v>5</v>
      </c>
      <c r="B15" s="12" t="s">
        <v>92</v>
      </c>
      <c r="I15" s="14" t="str">
        <f>"13-WorkCap, Line "&amp;'13-WorkCap'!A26&amp;""</f>
        <v>13-WorkCap, Line 16</v>
      </c>
      <c r="K15" s="924">
        <v>0</v>
      </c>
    </row>
    <row r="16" spans="1:12" x14ac:dyDescent="0.25">
      <c r="A16" s="2">
        <f>A15+1</f>
        <v>6</v>
      </c>
      <c r="B16" s="15" t="s">
        <v>93</v>
      </c>
      <c r="I16" s="14" t="str">
        <f>"13-WorkCap, Line "&amp;'13-WorkCap'!A55&amp;""</f>
        <v>13-WorkCap, Line 36</v>
      </c>
      <c r="K16" s="924">
        <v>0</v>
      </c>
    </row>
    <row r="17" spans="1:11" ht="15" x14ac:dyDescent="0.4">
      <c r="A17" s="2">
        <f>A16+1</f>
        <v>7</v>
      </c>
      <c r="B17" s="12" t="s">
        <v>173</v>
      </c>
      <c r="I17" s="14" t="str">
        <f>"(Line "&amp;A124&amp;" + Line "&amp;A125&amp;") / 8"</f>
        <v>(Line 66 + Line 67) / 8</v>
      </c>
      <c r="K17" s="925">
        <v>0</v>
      </c>
    </row>
    <row r="18" spans="1:11" x14ac:dyDescent="0.25">
      <c r="A18" s="2">
        <f>A17+1</f>
        <v>8</v>
      </c>
      <c r="B18" s="12" t="s">
        <v>91</v>
      </c>
      <c r="I18" s="14" t="str">
        <f>"Line "&amp;A15&amp;" + Line "&amp;A16&amp;" + Line "&amp;A17&amp;""</f>
        <v>Line 5 + Line 6 + Line 7</v>
      </c>
      <c r="K18" s="924">
        <v>0</v>
      </c>
    </row>
    <row r="19" spans="1:11" x14ac:dyDescent="0.25">
      <c r="A19" s="2"/>
      <c r="B19" s="12"/>
      <c r="I19" s="13"/>
      <c r="K19" s="6"/>
    </row>
    <row r="20" spans="1:11" x14ac:dyDescent="0.25">
      <c r="A20" s="2"/>
      <c r="B20" s="69" t="s">
        <v>166</v>
      </c>
      <c r="I20" s="13"/>
      <c r="K20" s="6"/>
    </row>
    <row r="21" spans="1:11" x14ac:dyDescent="0.25">
      <c r="A21" s="2">
        <f>A18+1</f>
        <v>9</v>
      </c>
      <c r="B21" s="12" t="s">
        <v>1052</v>
      </c>
      <c r="H21" t="s">
        <v>152</v>
      </c>
      <c r="I21" s="14" t="str">
        <f>"8-AccDep, Line "&amp;'8-AccDep'!A24&amp;", Col. 12"</f>
        <v>8-AccDep, Line 13, Col. 12</v>
      </c>
      <c r="K21" s="924">
        <v>0</v>
      </c>
    </row>
    <row r="22" spans="1:11" x14ac:dyDescent="0.25">
      <c r="A22" s="2">
        <f>A21+1</f>
        <v>10</v>
      </c>
      <c r="B22" s="12" t="s">
        <v>1053</v>
      </c>
      <c r="H22" t="s">
        <v>152</v>
      </c>
      <c r="I22" s="14" t="str">
        <f>"8-AccDep, Line "&amp;'8-AccDep'!A34&amp;", Col. 5"</f>
        <v>8-AccDep, Line 16, Col. 5</v>
      </c>
      <c r="K22" s="924">
        <v>0</v>
      </c>
    </row>
    <row r="23" spans="1:11" ht="15" x14ac:dyDescent="0.4">
      <c r="A23" s="2">
        <f>A22+1</f>
        <v>11</v>
      </c>
      <c r="B23" s="12" t="s">
        <v>311</v>
      </c>
      <c r="C23" s="20"/>
      <c r="H23" t="s">
        <v>152</v>
      </c>
      <c r="I23" s="14" t="str">
        <f>"8-AccDep, Line "&amp;'8-AccDep'!A60&amp;""</f>
        <v>8-AccDep, Line 26</v>
      </c>
      <c r="K23" s="925">
        <v>0</v>
      </c>
    </row>
    <row r="24" spans="1:11" x14ac:dyDescent="0.25">
      <c r="A24" s="2">
        <f>A23+1</f>
        <v>12</v>
      </c>
      <c r="B24" s="70" t="s">
        <v>164</v>
      </c>
      <c r="C24" s="20"/>
      <c r="I24" s="14" t="str">
        <f>"Line "&amp;A21&amp;" + Line "&amp;A22&amp;" + Line "&amp;A23&amp;""</f>
        <v>Line 9 + Line 10 + Line 11</v>
      </c>
      <c r="K24" s="924">
        <v>0</v>
      </c>
    </row>
    <row r="25" spans="1:11" x14ac:dyDescent="0.25">
      <c r="B25" s="11"/>
      <c r="I25" s="13"/>
      <c r="K25" s="6"/>
    </row>
    <row r="26" spans="1:11" x14ac:dyDescent="0.25">
      <c r="A26" s="2">
        <f>A24+1</f>
        <v>13</v>
      </c>
      <c r="B26" s="58" t="s">
        <v>165</v>
      </c>
      <c r="H26" t="s">
        <v>152</v>
      </c>
      <c r="I26" s="445" t="s">
        <v>2678</v>
      </c>
      <c r="K26" s="924">
        <v>0</v>
      </c>
    </row>
    <row r="27" spans="1:11" x14ac:dyDescent="0.25">
      <c r="A27" s="2"/>
      <c r="B27" s="58"/>
      <c r="I27" s="13"/>
    </row>
    <row r="28" spans="1:11" x14ac:dyDescent="0.25">
      <c r="A28" s="2">
        <f>A26+1</f>
        <v>14</v>
      </c>
      <c r="B28" s="43" t="s">
        <v>243</v>
      </c>
      <c r="I28" s="14" t="str">
        <f>"14-IncentivePlant, L "&amp;'14-IncentivePlant'!A37&amp;", Col 1"</f>
        <v>14-IncentivePlant, L 12, Col 1</v>
      </c>
      <c r="K28" s="924">
        <v>0</v>
      </c>
    </row>
    <row r="29" spans="1:11" x14ac:dyDescent="0.25">
      <c r="A29" s="2"/>
      <c r="B29" s="43"/>
      <c r="I29" s="13"/>
      <c r="K29" s="6"/>
    </row>
    <row r="30" spans="1:11" x14ac:dyDescent="0.25">
      <c r="A30" s="2">
        <f>A28+1</f>
        <v>15</v>
      </c>
      <c r="B30" s="43" t="s">
        <v>367</v>
      </c>
      <c r="I30" s="14" t="str">
        <f>"23-RegAssets, Line "&amp;'23-RegAssets'!A17&amp;""</f>
        <v>23-RegAssets, Line 14</v>
      </c>
      <c r="K30" s="924">
        <v>0</v>
      </c>
    </row>
    <row r="31" spans="1:11" x14ac:dyDescent="0.25">
      <c r="A31" s="547">
        <f>A30+1</f>
        <v>16</v>
      </c>
      <c r="B31" s="868" t="s">
        <v>1987</v>
      </c>
      <c r="C31" s="13"/>
      <c r="D31" s="13"/>
      <c r="E31" s="13"/>
      <c r="F31" s="13"/>
      <c r="G31" s="13"/>
      <c r="H31" s="13"/>
      <c r="I31" s="14" t="str">
        <f>"34-UnfundedReserves, Line "&amp;'34-UnfundedReserves'!A9&amp;""</f>
        <v>34-UnfundedReserves, Line 6</v>
      </c>
      <c r="J31" s="13"/>
      <c r="K31" s="924">
        <v>0</v>
      </c>
    </row>
    <row r="32" spans="1:11" x14ac:dyDescent="0.25">
      <c r="A32" s="547">
        <f>A31+1</f>
        <v>17</v>
      </c>
      <c r="B32" s="868" t="s">
        <v>56</v>
      </c>
      <c r="C32" s="13"/>
      <c r="D32" s="13"/>
      <c r="E32" s="13"/>
      <c r="F32" s="13"/>
      <c r="G32" s="13"/>
      <c r="H32" s="13" t="s">
        <v>152</v>
      </c>
      <c r="I32" s="14" t="str">
        <f>"22-NUCs, Line "&amp;'22-NUCs'!A11&amp;""</f>
        <v>22-NUCs, Line 4</v>
      </c>
      <c r="K32" s="924">
        <v>0</v>
      </c>
    </row>
    <row r="33" spans="1:11" x14ac:dyDescent="0.25">
      <c r="A33" s="2"/>
      <c r="B33" s="58"/>
    </row>
    <row r="34" spans="1:11" x14ac:dyDescent="0.25">
      <c r="A34" s="2">
        <f>A32+1</f>
        <v>18</v>
      </c>
      <c r="B34" t="s">
        <v>174</v>
      </c>
      <c r="I34" s="14" t="str">
        <f>"L"&amp;A9&amp;" + L"&amp;A10&amp;" + L"&amp;A11&amp;" + L"&amp;A12&amp;" + L"&amp;A18&amp;" + L"&amp;A24&amp;" +"</f>
        <v>L1 + L2 + L3 + L4 + L8 + L12 +</v>
      </c>
      <c r="J34" s="13"/>
      <c r="K34" s="924">
        <v>0</v>
      </c>
    </row>
    <row r="35" spans="1:11" x14ac:dyDescent="0.25">
      <c r="A35" s="2"/>
      <c r="I35" s="93" t="str">
        <f>"L"&amp;A26&amp;" + L"&amp;A28&amp;"+ L"&amp;A30&amp;"+ L"&amp;A31&amp;" + L"&amp;A32&amp;""</f>
        <v>L13 + L14+ L15+ L16 + L17</v>
      </c>
      <c r="J35" s="13"/>
      <c r="K35" s="56"/>
    </row>
    <row r="37" spans="1:11" x14ac:dyDescent="0.25">
      <c r="A37" s="9" t="s">
        <v>254</v>
      </c>
      <c r="B37" s="10"/>
      <c r="C37" s="10"/>
      <c r="D37" s="10"/>
      <c r="E37" s="10"/>
      <c r="F37" s="10"/>
      <c r="G37" s="10"/>
      <c r="H37" s="8"/>
      <c r="I37" s="8"/>
      <c r="J37" s="8"/>
      <c r="K37" s="8"/>
    </row>
    <row r="39" spans="1:11" x14ac:dyDescent="0.25">
      <c r="A39" s="2">
        <f>A34+1</f>
        <v>19</v>
      </c>
      <c r="B39" s="445" t="s">
        <v>1780</v>
      </c>
      <c r="C39" s="13"/>
      <c r="D39" s="13"/>
      <c r="H39" s="453" t="s">
        <v>2357</v>
      </c>
      <c r="I39" s="443" t="s">
        <v>2349</v>
      </c>
      <c r="K39" s="922">
        <v>0</v>
      </c>
    </row>
    <row r="40" spans="1:11" x14ac:dyDescent="0.25">
      <c r="A40" s="2">
        <f>A39+1</f>
        <v>20</v>
      </c>
      <c r="B40" s="96" t="s">
        <v>58</v>
      </c>
      <c r="C40" s="13"/>
      <c r="D40" s="13"/>
      <c r="I40" s="14" t="str">
        <f>"27-Allocators, Line "&amp;'27-Allocators'!A28&amp;""</f>
        <v>27-Allocators, Line 22</v>
      </c>
      <c r="K40" s="926" t="s">
        <v>2193</v>
      </c>
    </row>
    <row r="41" spans="1:11" x14ac:dyDescent="0.25">
      <c r="A41" s="2">
        <f>A40+1</f>
        <v>21</v>
      </c>
      <c r="B41" s="13" t="s">
        <v>61</v>
      </c>
      <c r="C41" s="13"/>
      <c r="D41" s="13"/>
      <c r="I41" s="14" t="str">
        <f>"Line "&amp;A39&amp;" * Line "&amp;A40&amp;""</f>
        <v>Line 19 * Line 20</v>
      </c>
      <c r="K41" s="924">
        <v>0</v>
      </c>
    </row>
    <row r="42" spans="1:11" x14ac:dyDescent="0.25">
      <c r="A42" s="2" t="s">
        <v>331</v>
      </c>
      <c r="B42" s="13"/>
      <c r="C42" s="13"/>
      <c r="D42" s="13"/>
      <c r="H42" s="11"/>
      <c r="I42" s="13"/>
      <c r="K42" s="7"/>
    </row>
    <row r="43" spans="1:11" x14ac:dyDescent="0.25">
      <c r="A43" s="2">
        <f>A41+1</f>
        <v>22</v>
      </c>
      <c r="B43" s="14" t="s">
        <v>255</v>
      </c>
      <c r="C43" s="13"/>
      <c r="D43" s="13"/>
      <c r="I43" s="13"/>
      <c r="K43" s="7"/>
    </row>
    <row r="44" spans="1:11" x14ac:dyDescent="0.25">
      <c r="A44" s="2">
        <f t="shared" ref="A44:A56" si="0">A43+1</f>
        <v>23</v>
      </c>
      <c r="B44" s="96" t="s">
        <v>16</v>
      </c>
      <c r="C44" s="13"/>
      <c r="D44" s="13"/>
      <c r="E44" s="1"/>
      <c r="F44" s="1"/>
      <c r="G44" s="1"/>
      <c r="I44" s="14" t="str">
        <f>"Line "&amp;A45&amp;" + Line "&amp;A46&amp;"+ Line "&amp;A47&amp;""</f>
        <v>Line 24 + Line 25+ Line 26</v>
      </c>
      <c r="K44" s="924">
        <v>0</v>
      </c>
    </row>
    <row r="45" spans="1:11" x14ac:dyDescent="0.25">
      <c r="A45" s="2">
        <f t="shared" si="0"/>
        <v>24</v>
      </c>
      <c r="B45" s="334" t="s">
        <v>40</v>
      </c>
      <c r="C45" s="13"/>
      <c r="D45" s="13"/>
      <c r="E45" s="1"/>
      <c r="F45" s="1"/>
      <c r="G45" s="1"/>
      <c r="H45" s="453" t="s">
        <v>2357</v>
      </c>
      <c r="I45" s="443" t="s">
        <v>2349</v>
      </c>
      <c r="K45" s="922">
        <v>0</v>
      </c>
    </row>
    <row r="46" spans="1:11" x14ac:dyDescent="0.25">
      <c r="A46" s="2">
        <f t="shared" si="0"/>
        <v>25</v>
      </c>
      <c r="B46" s="334" t="s">
        <v>41</v>
      </c>
      <c r="C46" s="13"/>
      <c r="D46" s="13"/>
      <c r="E46" s="1"/>
      <c r="F46" s="1"/>
      <c r="G46" s="1"/>
      <c r="H46" s="453" t="s">
        <v>2357</v>
      </c>
      <c r="I46" s="443" t="s">
        <v>2349</v>
      </c>
      <c r="K46" s="922">
        <v>0</v>
      </c>
    </row>
    <row r="47" spans="1:11" x14ac:dyDescent="0.25">
      <c r="A47" s="2">
        <f t="shared" si="0"/>
        <v>26</v>
      </c>
      <c r="B47" s="334" t="s">
        <v>42</v>
      </c>
      <c r="C47" s="13"/>
      <c r="D47" s="13"/>
      <c r="E47" s="1"/>
      <c r="F47" s="1"/>
      <c r="G47" s="1"/>
      <c r="H47" s="453" t="s">
        <v>2357</v>
      </c>
      <c r="I47" s="443" t="s">
        <v>2349</v>
      </c>
      <c r="K47" s="922">
        <v>0</v>
      </c>
    </row>
    <row r="48" spans="1:11" x14ac:dyDescent="0.25">
      <c r="A48" s="2">
        <f t="shared" si="0"/>
        <v>27</v>
      </c>
      <c r="B48" s="442" t="s">
        <v>1781</v>
      </c>
      <c r="C48" s="13"/>
      <c r="D48" s="13"/>
      <c r="H48" s="453" t="s">
        <v>2357</v>
      </c>
      <c r="I48" s="443" t="s">
        <v>2349</v>
      </c>
      <c r="K48" s="922">
        <v>0</v>
      </c>
    </row>
    <row r="49" spans="1:11" x14ac:dyDescent="0.25">
      <c r="A49" s="2">
        <f t="shared" si="0"/>
        <v>28</v>
      </c>
      <c r="B49" s="96" t="s">
        <v>1782</v>
      </c>
      <c r="C49" s="13"/>
      <c r="D49" s="13"/>
      <c r="H49" s="453" t="s">
        <v>2357</v>
      </c>
      <c r="I49" s="443" t="s">
        <v>2349</v>
      </c>
      <c r="K49" s="922">
        <v>0</v>
      </c>
    </row>
    <row r="50" spans="1:11" x14ac:dyDescent="0.25">
      <c r="A50" s="530">
        <f t="shared" si="0"/>
        <v>29</v>
      </c>
      <c r="B50" s="96" t="s">
        <v>1639</v>
      </c>
      <c r="C50" s="13"/>
      <c r="D50" s="13"/>
      <c r="H50" s="453" t="s">
        <v>2357</v>
      </c>
      <c r="I50" s="443" t="s">
        <v>2349</v>
      </c>
      <c r="K50" s="922">
        <v>0</v>
      </c>
    </row>
    <row r="51" spans="1:11" x14ac:dyDescent="0.25">
      <c r="A51" s="530">
        <f t="shared" si="0"/>
        <v>30</v>
      </c>
      <c r="B51" s="96" t="s">
        <v>1783</v>
      </c>
      <c r="C51" s="13"/>
      <c r="D51" s="13"/>
      <c r="H51" s="453" t="s">
        <v>2357</v>
      </c>
      <c r="I51" s="443" t="s">
        <v>2349</v>
      </c>
      <c r="K51" s="922">
        <v>0</v>
      </c>
    </row>
    <row r="52" spans="1:11" x14ac:dyDescent="0.25">
      <c r="A52" s="530">
        <f t="shared" si="0"/>
        <v>31</v>
      </c>
      <c r="B52" t="s">
        <v>62</v>
      </c>
      <c r="I52" s="14" t="str">
        <f>"Line "&amp;A44&amp;" + (Line "&amp;A48&amp;" to Line "&amp;A51&amp;")"</f>
        <v>Line 23 + (Line 27 to Line 30)</v>
      </c>
      <c r="K52" s="924">
        <v>0</v>
      </c>
    </row>
    <row r="53" spans="1:11" x14ac:dyDescent="0.25">
      <c r="A53" s="530">
        <f t="shared" si="0"/>
        <v>32</v>
      </c>
      <c r="B53" s="445" t="s">
        <v>1640</v>
      </c>
      <c r="C53" s="13"/>
      <c r="D53" s="13"/>
      <c r="E53" s="13"/>
      <c r="F53" s="13"/>
      <c r="G53" s="13"/>
      <c r="H53" s="445"/>
      <c r="I53" s="445" t="str">
        <f>"26-TaxRates, Line "&amp;'26-TaxRates'!A22&amp;""</f>
        <v>26-TaxRates, Line 16</v>
      </c>
      <c r="K53" s="924">
        <v>0</v>
      </c>
    </row>
    <row r="54" spans="1:11" x14ac:dyDescent="0.25">
      <c r="A54" s="530">
        <f t="shared" si="0"/>
        <v>33</v>
      </c>
      <c r="B54" s="13" t="s">
        <v>1324</v>
      </c>
      <c r="C54" s="13"/>
      <c r="D54" s="13"/>
      <c r="E54" s="13"/>
      <c r="F54" s="13"/>
      <c r="G54" s="13"/>
      <c r="I54" s="14" t="str">
        <f>"Line "&amp;A52&amp;" - Line "&amp;A53&amp;""</f>
        <v>Line 31 - Line 32</v>
      </c>
      <c r="K54" s="924">
        <v>0</v>
      </c>
    </row>
    <row r="55" spans="1:11" x14ac:dyDescent="0.25">
      <c r="A55" s="530">
        <f t="shared" si="0"/>
        <v>34</v>
      </c>
      <c r="B55" s="12" t="s">
        <v>94</v>
      </c>
      <c r="I55" s="14" t="str">
        <f>"27-Allocators, Line "&amp;'27-Allocators'!A15&amp;""</f>
        <v>27-Allocators, Line 9</v>
      </c>
      <c r="K55" s="926" t="s">
        <v>2193</v>
      </c>
    </row>
    <row r="56" spans="1:11" x14ac:dyDescent="0.25">
      <c r="A56" s="530">
        <f t="shared" si="0"/>
        <v>35</v>
      </c>
      <c r="B56" s="43" t="s">
        <v>255</v>
      </c>
      <c r="I56" s="11" t="str">
        <f>"Line "&amp;A54&amp;" * Line "&amp;A55&amp;""</f>
        <v>Line 33 * Line 34</v>
      </c>
      <c r="K56" s="924">
        <v>0</v>
      </c>
    </row>
    <row r="57" spans="1:11" x14ac:dyDescent="0.25">
      <c r="A57" s="2"/>
      <c r="K57" s="6"/>
    </row>
    <row r="58" spans="1:11" x14ac:dyDescent="0.25">
      <c r="A58" s="2">
        <f>A56+1</f>
        <v>36</v>
      </c>
      <c r="B58" s="11" t="s">
        <v>80</v>
      </c>
      <c r="H58" s="443" t="s">
        <v>364</v>
      </c>
      <c r="I58" s="11" t="str">
        <f>"Line "&amp;A41&amp;" + Line "&amp;A56&amp;""</f>
        <v>Line 21 + Line 35</v>
      </c>
      <c r="K58" s="924">
        <v>0</v>
      </c>
    </row>
    <row r="60" spans="1:11" x14ac:dyDescent="0.25">
      <c r="A60" s="9" t="s">
        <v>178</v>
      </c>
      <c r="B60" s="10"/>
      <c r="C60" s="10"/>
      <c r="D60" s="10"/>
      <c r="E60" s="10"/>
      <c r="F60" s="10"/>
      <c r="G60" s="10"/>
      <c r="H60" s="8"/>
      <c r="I60" s="8"/>
      <c r="J60" s="8"/>
      <c r="K60" s="8"/>
    </row>
    <row r="61" spans="1:11" x14ac:dyDescent="0.25">
      <c r="A61" s="38"/>
      <c r="B61" s="14"/>
      <c r="C61" s="14"/>
      <c r="D61" s="14"/>
      <c r="E61" s="14"/>
      <c r="F61" s="14"/>
      <c r="G61" s="14"/>
      <c r="H61" s="14"/>
      <c r="I61" s="14"/>
      <c r="J61" s="14"/>
      <c r="K61" s="14"/>
    </row>
    <row r="62" spans="1:11" x14ac:dyDescent="0.25">
      <c r="A62" s="91"/>
      <c r="B62" s="39" t="s">
        <v>26</v>
      </c>
      <c r="C62" s="14"/>
      <c r="D62" s="14"/>
      <c r="E62" s="14"/>
      <c r="F62" s="14"/>
      <c r="G62" s="14"/>
      <c r="H62" s="14"/>
      <c r="I62" s="14"/>
      <c r="J62" s="14"/>
      <c r="K62" s="14"/>
    </row>
    <row r="63" spans="1:11" x14ac:dyDescent="0.25">
      <c r="A63" s="94">
        <f>A58+1</f>
        <v>37</v>
      </c>
      <c r="B63" s="14" t="s">
        <v>210</v>
      </c>
      <c r="C63" s="14"/>
      <c r="D63" s="14"/>
      <c r="E63" s="14"/>
      <c r="F63" s="14"/>
      <c r="G63" s="14"/>
      <c r="H63" s="14"/>
      <c r="I63" s="14" t="str">
        <f>"5-ROR-1, Line "&amp;'5-ROR-1'!A19&amp;""</f>
        <v>5-ROR-1, Line 12</v>
      </c>
      <c r="J63" s="14"/>
      <c r="K63" s="924">
        <v>0</v>
      </c>
    </row>
    <row r="64" spans="1:11" x14ac:dyDescent="0.25">
      <c r="A64" s="2">
        <f>A63+1</f>
        <v>38</v>
      </c>
      <c r="B64" s="14" t="s">
        <v>256</v>
      </c>
      <c r="C64" s="14"/>
      <c r="D64" s="14"/>
      <c r="E64" s="14"/>
      <c r="F64" s="14"/>
      <c r="G64" s="14"/>
      <c r="H64" s="14"/>
      <c r="I64" s="14" t="str">
        <f>"Line "&amp;A63&amp;" * Line "&amp;A65&amp;""</f>
        <v>Line 37 * Line 39</v>
      </c>
      <c r="J64" s="14"/>
      <c r="K64" s="924">
        <v>0</v>
      </c>
    </row>
    <row r="65" spans="1:11" x14ac:dyDescent="0.25">
      <c r="A65" s="2">
        <f>A64+1</f>
        <v>39</v>
      </c>
      <c r="B65" s="14" t="s">
        <v>257</v>
      </c>
      <c r="C65" s="14"/>
      <c r="D65" s="14"/>
      <c r="E65" s="14"/>
      <c r="F65" s="14"/>
      <c r="G65" s="14"/>
      <c r="I65" s="14" t="str">
        <f>"5-ROR-3, Line "&amp;'5-ROR-3'!A15&amp;""</f>
        <v>5-ROR-3, Line 10</v>
      </c>
      <c r="J65" s="14"/>
      <c r="K65" s="926" t="s">
        <v>2193</v>
      </c>
    </row>
    <row r="66" spans="1:11" x14ac:dyDescent="0.25">
      <c r="A66" s="94"/>
      <c r="B66" s="14"/>
      <c r="C66" s="14"/>
      <c r="D66" s="14"/>
      <c r="E66" s="14"/>
      <c r="F66" s="14"/>
      <c r="G66" s="14"/>
      <c r="I66" s="14"/>
      <c r="J66" s="14"/>
      <c r="K66" s="42"/>
    </row>
    <row r="67" spans="1:11" x14ac:dyDescent="0.25">
      <c r="A67" s="94"/>
      <c r="B67" s="39" t="s">
        <v>27</v>
      </c>
      <c r="C67" s="14"/>
      <c r="D67" s="14"/>
      <c r="E67" s="14"/>
      <c r="F67" s="14"/>
      <c r="G67" s="14"/>
      <c r="H67" s="14"/>
      <c r="I67" s="14"/>
      <c r="J67" s="14"/>
      <c r="K67" s="14"/>
    </row>
    <row r="68" spans="1:11" x14ac:dyDescent="0.25">
      <c r="A68" s="94">
        <f>A65+1</f>
        <v>40</v>
      </c>
      <c r="B68" s="445" t="s">
        <v>48</v>
      </c>
      <c r="C68" s="14"/>
      <c r="D68" s="14"/>
      <c r="E68" s="14"/>
      <c r="F68" s="14"/>
      <c r="G68" s="14"/>
      <c r="H68" s="14"/>
      <c r="I68" s="14" t="str">
        <f>"5-ROR-1, Line "&amp;'5-ROR-1'!A26&amp;""</f>
        <v>5-ROR-1, Line 16</v>
      </c>
      <c r="J68" s="14"/>
      <c r="K68" s="924">
        <v>0</v>
      </c>
    </row>
    <row r="69" spans="1:11" x14ac:dyDescent="0.25">
      <c r="A69" s="2">
        <f>A68+1</f>
        <v>41</v>
      </c>
      <c r="B69" s="445" t="s">
        <v>25</v>
      </c>
      <c r="C69" s="14"/>
      <c r="D69" s="14"/>
      <c r="E69" s="14"/>
      <c r="F69" s="14"/>
      <c r="G69" s="14"/>
      <c r="H69" s="14"/>
      <c r="I69" s="14" t="str">
        <f>"Line "&amp;A68&amp;" * Line "&amp;A70&amp;""</f>
        <v>Line 40 * Line 42</v>
      </c>
      <c r="J69" s="14"/>
      <c r="K69" s="924">
        <v>0</v>
      </c>
    </row>
    <row r="70" spans="1:11" x14ac:dyDescent="0.25">
      <c r="A70" s="2">
        <f>A69+1</f>
        <v>42</v>
      </c>
      <c r="B70" s="445" t="s">
        <v>44</v>
      </c>
      <c r="C70" s="14"/>
      <c r="D70" s="14"/>
      <c r="E70" s="14"/>
      <c r="F70" s="14"/>
      <c r="G70" s="14"/>
      <c r="I70" s="14" t="str">
        <f>"5-ROR-4, Line "&amp;'5-ROR-4'!A14&amp;""</f>
        <v>5-ROR-4, Line 9</v>
      </c>
      <c r="J70" s="14"/>
      <c r="K70" s="926" t="s">
        <v>2193</v>
      </c>
    </row>
    <row r="71" spans="1:11" x14ac:dyDescent="0.25">
      <c r="A71" s="94"/>
      <c r="B71" s="14"/>
      <c r="C71" s="14"/>
      <c r="D71" s="14"/>
      <c r="E71" s="14"/>
      <c r="F71" s="14"/>
      <c r="G71" s="14"/>
      <c r="I71" s="14"/>
      <c r="J71" s="14"/>
      <c r="K71" s="42"/>
    </row>
    <row r="72" spans="1:11" x14ac:dyDescent="0.25">
      <c r="A72" s="94"/>
      <c r="B72" s="39" t="s">
        <v>28</v>
      </c>
      <c r="C72" s="14"/>
      <c r="D72" s="14"/>
      <c r="E72" s="14"/>
      <c r="F72" s="14"/>
      <c r="G72" s="14"/>
      <c r="H72" s="14"/>
      <c r="I72" s="14"/>
      <c r="J72" s="14"/>
      <c r="K72" s="14"/>
    </row>
    <row r="73" spans="1:11" x14ac:dyDescent="0.25">
      <c r="A73" s="94">
        <f>A70+1</f>
        <v>43</v>
      </c>
      <c r="B73" s="14" t="s">
        <v>45</v>
      </c>
      <c r="C73" s="14"/>
      <c r="D73" s="14"/>
      <c r="E73" s="14"/>
      <c r="F73" s="14"/>
      <c r="G73" s="14"/>
      <c r="H73" s="14"/>
      <c r="I73" s="14" t="str">
        <f>"5-ROR-1, Line "&amp;'5-ROR-1'!A34&amp;""</f>
        <v>5-ROR-1, Line 22</v>
      </c>
      <c r="J73" s="14"/>
      <c r="K73" s="924">
        <v>0</v>
      </c>
    </row>
    <row r="74" spans="1:11" x14ac:dyDescent="0.25">
      <c r="A74" s="94"/>
      <c r="B74" s="14"/>
      <c r="C74" s="14"/>
      <c r="D74" s="14"/>
      <c r="E74" s="14"/>
      <c r="F74" s="14"/>
      <c r="G74" s="14"/>
      <c r="H74" s="14"/>
      <c r="I74" s="57"/>
      <c r="J74" s="14"/>
      <c r="K74" s="14"/>
    </row>
    <row r="75" spans="1:11" x14ac:dyDescent="0.25">
      <c r="A75" s="2">
        <f>A73+1</f>
        <v>44</v>
      </c>
      <c r="B75" s="14" t="s">
        <v>47</v>
      </c>
      <c r="C75" s="14"/>
      <c r="D75" s="14"/>
      <c r="E75" s="14"/>
      <c r="F75" s="14"/>
      <c r="G75" s="14"/>
      <c r="H75" s="14"/>
      <c r="I75" s="11" t="str">
        <f>"Line "&amp;A63&amp;" + Line "&amp;A68&amp;" + Line "&amp;A73&amp;""</f>
        <v>Line 37 + Line 40 + Line 43</v>
      </c>
      <c r="J75" s="14"/>
      <c r="K75" s="924">
        <v>0</v>
      </c>
    </row>
    <row r="76" spans="1:11" x14ac:dyDescent="0.25">
      <c r="A76" s="94"/>
      <c r="B76" s="40"/>
      <c r="C76" s="14"/>
      <c r="D76" s="14"/>
      <c r="E76" s="14"/>
      <c r="F76" s="14"/>
      <c r="G76" s="14"/>
      <c r="I76" s="14"/>
      <c r="J76" s="14"/>
      <c r="K76" s="41"/>
    </row>
    <row r="77" spans="1:11" x14ac:dyDescent="0.25">
      <c r="A77" s="94"/>
      <c r="B77" s="39" t="s">
        <v>49</v>
      </c>
      <c r="C77" s="14"/>
      <c r="D77" s="14"/>
      <c r="E77" s="14"/>
      <c r="F77" s="14"/>
      <c r="G77" s="14"/>
      <c r="H77" s="14"/>
      <c r="I77" s="14"/>
      <c r="J77" s="14"/>
      <c r="K77" s="14"/>
    </row>
    <row r="78" spans="1:11" x14ac:dyDescent="0.25">
      <c r="A78" s="94">
        <f>A75+1</f>
        <v>45</v>
      </c>
      <c r="B78" s="14" t="s">
        <v>258</v>
      </c>
      <c r="C78" s="14"/>
      <c r="D78" s="14"/>
      <c r="E78" s="14"/>
      <c r="F78" s="14"/>
      <c r="G78" s="14"/>
      <c r="H78" s="14"/>
      <c r="I78" s="11" t="str">
        <f>"Line "&amp;A63&amp;" / Line "&amp;A75&amp;""</f>
        <v>Line 37 / Line 44</v>
      </c>
      <c r="J78" s="14"/>
      <c r="K78" s="926" t="s">
        <v>2193</v>
      </c>
    </row>
    <row r="79" spans="1:11" x14ac:dyDescent="0.25">
      <c r="A79" s="2">
        <f>A78+1</f>
        <v>46</v>
      </c>
      <c r="B79" s="445" t="s">
        <v>259</v>
      </c>
      <c r="C79" s="14"/>
      <c r="D79" s="14"/>
      <c r="E79" s="14"/>
      <c r="F79" s="14"/>
      <c r="G79" s="14"/>
      <c r="H79" s="14"/>
      <c r="I79" s="11" t="str">
        <f>"Line "&amp;A68&amp;" / Line "&amp;A75&amp;""</f>
        <v>Line 40 / Line 44</v>
      </c>
      <c r="J79" s="14"/>
      <c r="K79" s="926" t="s">
        <v>2193</v>
      </c>
    </row>
    <row r="80" spans="1:11" x14ac:dyDescent="0.25">
      <c r="A80" s="2">
        <f>A79+1</f>
        <v>47</v>
      </c>
      <c r="B80" s="14" t="s">
        <v>50</v>
      </c>
      <c r="C80" s="14"/>
      <c r="D80" s="14"/>
      <c r="E80" s="14"/>
      <c r="F80" s="14"/>
      <c r="G80" s="14"/>
      <c r="H80" s="14"/>
      <c r="I80" s="11" t="str">
        <f>"Line "&amp;A73&amp;" / Line "&amp;A75&amp;""</f>
        <v>Line 43 / Line 44</v>
      </c>
      <c r="J80" s="14"/>
      <c r="K80" s="927" t="s">
        <v>2193</v>
      </c>
    </row>
    <row r="81" spans="1:11" x14ac:dyDescent="0.25">
      <c r="A81" s="94"/>
      <c r="B81" s="14"/>
      <c r="C81" s="14"/>
      <c r="D81" s="14"/>
      <c r="E81" s="14"/>
      <c r="F81" s="14"/>
      <c r="G81" s="14"/>
      <c r="H81" s="14"/>
      <c r="I81" s="11" t="str">
        <f>"Line "&amp;A78&amp;" + Line "&amp;A79&amp;"+ Line "&amp;A80&amp;""</f>
        <v>Line 45 + Line 46+ Line 47</v>
      </c>
      <c r="J81" s="14"/>
      <c r="K81" s="926" t="s">
        <v>2193</v>
      </c>
    </row>
    <row r="82" spans="1:11" x14ac:dyDescent="0.25">
      <c r="A82" s="94"/>
      <c r="B82" s="39" t="s">
        <v>221</v>
      </c>
      <c r="C82" s="14"/>
      <c r="D82" s="14"/>
      <c r="E82" s="14"/>
      <c r="F82" s="14"/>
      <c r="G82" s="14"/>
      <c r="H82" s="14"/>
      <c r="I82" s="14"/>
      <c r="J82" s="14"/>
      <c r="K82" s="42"/>
    </row>
    <row r="83" spans="1:11" x14ac:dyDescent="0.25">
      <c r="A83" s="94">
        <f>A80+1</f>
        <v>48</v>
      </c>
      <c r="B83" s="14" t="s">
        <v>257</v>
      </c>
      <c r="C83" s="14"/>
      <c r="D83" s="14"/>
      <c r="E83" s="14"/>
      <c r="F83" s="14"/>
      <c r="G83" s="14"/>
      <c r="I83" s="11" t="str">
        <f>"Line "&amp;A65&amp;""</f>
        <v>Line 39</v>
      </c>
      <c r="J83" s="14"/>
      <c r="K83" s="928" t="str">
        <f>K65</f>
        <v>- %</v>
      </c>
    </row>
    <row r="84" spans="1:11" x14ac:dyDescent="0.25">
      <c r="A84" s="2">
        <f>A83+1</f>
        <v>49</v>
      </c>
      <c r="B84" s="445" t="s">
        <v>44</v>
      </c>
      <c r="C84" s="14"/>
      <c r="D84" s="14"/>
      <c r="E84" s="14"/>
      <c r="F84" s="14"/>
      <c r="G84" s="14"/>
      <c r="I84" s="11" t="str">
        <f>"Line "&amp;A70&amp;""</f>
        <v>Line 42</v>
      </c>
      <c r="J84" s="14"/>
      <c r="K84" s="928" t="str">
        <f>K70</f>
        <v>- %</v>
      </c>
    </row>
    <row r="85" spans="1:11" x14ac:dyDescent="0.25">
      <c r="A85" s="2">
        <f>A84+1</f>
        <v>50</v>
      </c>
      <c r="B85" s="445" t="s">
        <v>1732</v>
      </c>
      <c r="C85" s="14"/>
      <c r="D85" s="14"/>
      <c r="E85" s="14"/>
      <c r="F85" s="14"/>
      <c r="G85" s="14"/>
      <c r="H85" s="443" t="s">
        <v>365</v>
      </c>
      <c r="I85" s="14" t="s">
        <v>214</v>
      </c>
      <c r="J85" s="14"/>
      <c r="K85" s="967">
        <v>0.108</v>
      </c>
    </row>
    <row r="86" spans="1:11" x14ac:dyDescent="0.25">
      <c r="A86" s="94"/>
      <c r="B86" s="14"/>
      <c r="C86" s="14"/>
      <c r="D86" s="14"/>
      <c r="E86" s="14"/>
      <c r="F86" s="14"/>
      <c r="G86" s="14"/>
      <c r="I86" s="62"/>
      <c r="J86" s="14"/>
      <c r="K86" s="42"/>
    </row>
    <row r="87" spans="1:11" x14ac:dyDescent="0.25">
      <c r="A87" s="94"/>
      <c r="B87" s="39" t="s">
        <v>262</v>
      </c>
      <c r="C87" s="14"/>
      <c r="D87" s="14"/>
      <c r="E87" s="14"/>
      <c r="F87" s="14"/>
      <c r="G87" s="14"/>
      <c r="H87" s="14"/>
      <c r="I87" s="14"/>
      <c r="J87" s="14"/>
      <c r="K87" s="14"/>
    </row>
    <row r="88" spans="1:11" x14ac:dyDescent="0.25">
      <c r="A88" s="94">
        <f>A85+1</f>
        <v>51</v>
      </c>
      <c r="B88" s="14" t="s">
        <v>51</v>
      </c>
      <c r="C88" s="14"/>
      <c r="D88" s="14"/>
      <c r="E88" s="14"/>
      <c r="F88" s="14"/>
      <c r="G88" s="14"/>
      <c r="I88" s="11" t="str">
        <f>"Line "&amp;A65&amp;" * Line "&amp;A78&amp;""</f>
        <v>Line 39 * Line 45</v>
      </c>
      <c r="J88" s="14"/>
      <c r="K88" s="926" t="s">
        <v>2193</v>
      </c>
    </row>
    <row r="89" spans="1:11" x14ac:dyDescent="0.25">
      <c r="A89" s="2">
        <f>A88+1</f>
        <v>52</v>
      </c>
      <c r="B89" s="445" t="s">
        <v>52</v>
      </c>
      <c r="C89" s="14"/>
      <c r="D89" s="14"/>
      <c r="E89" s="14"/>
      <c r="F89" s="14"/>
      <c r="G89" s="14"/>
      <c r="I89" s="11" t="str">
        <f>"Line "&amp;A70&amp;" * Line "&amp;A79&amp;""</f>
        <v>Line 42 * Line 46</v>
      </c>
      <c r="J89" s="14"/>
      <c r="K89" s="926" t="s">
        <v>2193</v>
      </c>
    </row>
    <row r="90" spans="1:11" x14ac:dyDescent="0.25">
      <c r="A90" s="2">
        <f>A89+1</f>
        <v>53</v>
      </c>
      <c r="B90" s="14" t="s">
        <v>53</v>
      </c>
      <c r="C90" s="14"/>
      <c r="D90" s="14"/>
      <c r="E90" s="14"/>
      <c r="F90" s="14"/>
      <c r="G90" s="14"/>
      <c r="I90" s="11" t="str">
        <f>"Line "&amp;A80&amp;" * Line "&amp;A85&amp;""</f>
        <v>Line 47 * Line 50</v>
      </c>
      <c r="J90" s="14"/>
      <c r="K90" s="927" t="s">
        <v>2193</v>
      </c>
    </row>
    <row r="91" spans="1:11" x14ac:dyDescent="0.25">
      <c r="A91" s="2">
        <f>A90+1</f>
        <v>54</v>
      </c>
      <c r="B91" s="40" t="s">
        <v>54</v>
      </c>
      <c r="C91" s="14"/>
      <c r="D91" s="14"/>
      <c r="E91" s="14"/>
      <c r="F91" s="14"/>
      <c r="G91" s="14"/>
      <c r="I91" s="11" t="str">
        <f>"Line "&amp;A88&amp;" + Line "&amp;A89&amp;" + Line "&amp;A90&amp;""</f>
        <v>Line 51 + Line 52 + Line 53</v>
      </c>
      <c r="J91" s="14"/>
      <c r="K91" s="926" t="s">
        <v>2193</v>
      </c>
    </row>
    <row r="92" spans="1:11" x14ac:dyDescent="0.25">
      <c r="A92" s="94"/>
      <c r="B92" s="40"/>
      <c r="C92" s="14"/>
      <c r="D92" s="14"/>
      <c r="E92" s="14"/>
      <c r="F92" s="14"/>
      <c r="G92" s="14"/>
      <c r="I92" s="14"/>
      <c r="J92" s="14"/>
      <c r="K92" s="42"/>
    </row>
    <row r="93" spans="1:11" x14ac:dyDescent="0.25">
      <c r="A93" s="2">
        <f>A91+1</f>
        <v>55</v>
      </c>
      <c r="B93" s="859" t="s">
        <v>1733</v>
      </c>
      <c r="C93" s="14"/>
      <c r="D93" s="14"/>
      <c r="E93" s="14"/>
      <c r="F93" s="14"/>
      <c r="G93" s="14"/>
      <c r="H93" s="14" t="s">
        <v>216</v>
      </c>
      <c r="I93" s="11" t="str">
        <f>"Line "&amp;A89&amp;" + Line "&amp;A90&amp;""</f>
        <v>Line 52 + Line 53</v>
      </c>
      <c r="J93" s="14"/>
      <c r="K93" s="926" t="s">
        <v>2193</v>
      </c>
    </row>
    <row r="94" spans="1:11" x14ac:dyDescent="0.25">
      <c r="A94" s="94"/>
      <c r="B94" s="14"/>
      <c r="C94" s="14"/>
      <c r="D94" s="14"/>
      <c r="E94" s="14"/>
      <c r="F94" s="14"/>
      <c r="G94" s="14"/>
      <c r="I94" s="14"/>
      <c r="J94" s="14"/>
      <c r="K94" s="42"/>
    </row>
    <row r="95" spans="1:11" x14ac:dyDescent="0.25">
      <c r="A95" s="2">
        <f>A93+1</f>
        <v>56</v>
      </c>
      <c r="B95" s="14" t="s">
        <v>55</v>
      </c>
      <c r="C95" s="14"/>
      <c r="D95" s="14"/>
      <c r="E95" s="14"/>
      <c r="F95" s="14"/>
      <c r="G95" s="14"/>
      <c r="I95" s="11" t="str">
        <f>"Line "&amp;A34&amp;" * Line "&amp;A91&amp;""</f>
        <v>Line 18 * Line 54</v>
      </c>
      <c r="J95" s="14"/>
      <c r="K95" s="924">
        <v>0</v>
      </c>
    </row>
    <row r="96" spans="1:11" x14ac:dyDescent="0.25">
      <c r="A96" s="79"/>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179</v>
      </c>
      <c r="B98" s="10"/>
      <c r="C98" s="10"/>
      <c r="D98" s="10"/>
      <c r="E98" s="10"/>
      <c r="F98" s="10"/>
      <c r="G98" s="10"/>
      <c r="H98" s="8"/>
      <c r="I98" s="8"/>
      <c r="J98" s="8"/>
      <c r="K98" s="8"/>
    </row>
    <row r="100" spans="1:11" x14ac:dyDescent="0.25">
      <c r="A100" s="94">
        <f>A95+1</f>
        <v>57</v>
      </c>
      <c r="B100" t="s">
        <v>215</v>
      </c>
      <c r="I100" s="13" t="str">
        <f>"26-Tax Rates, Line "&amp;'26-TaxRates'!A7&amp;""</f>
        <v>26-Tax Rates, Line 1</v>
      </c>
      <c r="K100" s="926" t="s">
        <v>2193</v>
      </c>
    </row>
    <row r="101" spans="1:11" x14ac:dyDescent="0.25">
      <c r="A101" s="2">
        <f>A100+1</f>
        <v>58</v>
      </c>
      <c r="B101" s="11" t="s">
        <v>261</v>
      </c>
      <c r="I101" s="13" t="str">
        <f>"26-Tax Rates, Line "&amp;'26-TaxRates'!A14&amp;""</f>
        <v>26-Tax Rates, Line 8</v>
      </c>
      <c r="K101" s="926" t="s">
        <v>2193</v>
      </c>
    </row>
    <row r="102" spans="1:11" x14ac:dyDescent="0.25">
      <c r="A102" s="2">
        <f>A101+1</f>
        <v>59</v>
      </c>
      <c r="B102" s="11" t="s">
        <v>260</v>
      </c>
      <c r="H102" s="45" t="s">
        <v>1653</v>
      </c>
      <c r="I102" s="11" t="str">
        <f>"(L"&amp;A100&amp;" + L"&amp;A101&amp;") - (L"&amp;A100&amp;" * L"&amp;A101&amp;")"</f>
        <v>(L57 + L58) - (L57 * L58)</v>
      </c>
      <c r="K102" s="926" t="s">
        <v>2193</v>
      </c>
    </row>
    <row r="103" spans="1:11" x14ac:dyDescent="0.25">
      <c r="A103" s="2"/>
      <c r="K103" s="7"/>
    </row>
    <row r="104" spans="1:11" x14ac:dyDescent="0.25">
      <c r="A104" s="2"/>
      <c r="B104" s="68" t="s">
        <v>263</v>
      </c>
      <c r="K104" s="7"/>
    </row>
    <row r="105" spans="1:11" ht="15" x14ac:dyDescent="0.4">
      <c r="A105" s="94">
        <f>A102+1</f>
        <v>60</v>
      </c>
      <c r="B105" s="526" t="s">
        <v>1832</v>
      </c>
      <c r="C105" s="13"/>
      <c r="D105" s="13"/>
      <c r="E105" s="13"/>
      <c r="F105" s="13"/>
      <c r="G105" s="13"/>
      <c r="H105" s="443" t="s">
        <v>1167</v>
      </c>
      <c r="I105" s="1162">
        <v>200</v>
      </c>
      <c r="K105" s="1163">
        <v>0</v>
      </c>
    </row>
    <row r="106" spans="1:11" x14ac:dyDescent="0.25">
      <c r="A106" s="2">
        <f>A105+1</f>
        <v>61</v>
      </c>
      <c r="B106" s="526" t="s">
        <v>1833</v>
      </c>
      <c r="C106" s="13"/>
      <c r="D106" s="13"/>
      <c r="E106" s="13"/>
      <c r="F106" s="13"/>
      <c r="G106" s="13"/>
      <c r="H106" s="443" t="s">
        <v>1167</v>
      </c>
      <c r="I106" s="13"/>
      <c r="K106" s="922">
        <v>0</v>
      </c>
    </row>
    <row r="107" spans="1:11" x14ac:dyDescent="0.25">
      <c r="A107" s="2">
        <f>A106+1</f>
        <v>62</v>
      </c>
      <c r="B107" s="526" t="s">
        <v>1834</v>
      </c>
      <c r="C107" s="13"/>
      <c r="D107" s="13"/>
      <c r="E107" s="13"/>
      <c r="F107" s="13"/>
      <c r="G107" s="13"/>
      <c r="H107" s="443" t="s">
        <v>1167</v>
      </c>
      <c r="I107" s="13"/>
      <c r="K107" s="95">
        <v>2606000</v>
      </c>
    </row>
    <row r="108" spans="1:11" x14ac:dyDescent="0.25">
      <c r="A108" s="547">
        <f>A107+1</f>
        <v>63</v>
      </c>
      <c r="B108" s="12" t="s">
        <v>264</v>
      </c>
      <c r="I108" s="443" t="str">
        <f>"Line "&amp;A105&amp;" + Line "&amp;A106&amp;"+ Line "&amp;A107&amp;""</f>
        <v>Line 60 + Line 61+ Line 62</v>
      </c>
      <c r="K108" s="924">
        <v>0</v>
      </c>
    </row>
    <row r="109" spans="1:11" x14ac:dyDescent="0.25">
      <c r="A109" s="94"/>
    </row>
    <row r="110" spans="1:11" x14ac:dyDescent="0.25">
      <c r="A110" s="94">
        <f>A108+1</f>
        <v>64</v>
      </c>
      <c r="B110" s="11" t="s">
        <v>265</v>
      </c>
      <c r="I110" t="str">
        <f>"Formula on Line "&amp;A112&amp;""</f>
        <v>Formula on Line 65</v>
      </c>
      <c r="K110" s="924">
        <v>0</v>
      </c>
    </row>
    <row r="111" spans="1:11" x14ac:dyDescent="0.25">
      <c r="A111" s="94"/>
    </row>
    <row r="112" spans="1:11" x14ac:dyDescent="0.25">
      <c r="A112" s="94">
        <f>A110+1</f>
        <v>65</v>
      </c>
      <c r="B112" s="445" t="s">
        <v>2191</v>
      </c>
      <c r="C112" s="13"/>
      <c r="D112" s="13"/>
      <c r="E112" s="13"/>
      <c r="F112" s="13"/>
      <c r="G112" s="13"/>
      <c r="H112" s="13"/>
      <c r="I112" s="13"/>
    </row>
    <row r="113" spans="1:11" x14ac:dyDescent="0.25">
      <c r="A113" s="54"/>
      <c r="B113" s="13"/>
      <c r="C113" s="13"/>
      <c r="D113" s="13"/>
      <c r="E113" s="13"/>
      <c r="F113" s="13"/>
      <c r="G113" s="13"/>
      <c r="H113" s="13"/>
      <c r="I113" s="14"/>
    </row>
    <row r="114" spans="1:11" x14ac:dyDescent="0.25">
      <c r="A114" s="54"/>
      <c r="B114" s="13"/>
      <c r="C114" s="13" t="s">
        <v>217</v>
      </c>
      <c r="D114" s="13"/>
      <c r="E114" s="13"/>
      <c r="F114" s="13"/>
      <c r="G114" s="13"/>
      <c r="H114" s="13"/>
      <c r="I114" s="13"/>
    </row>
    <row r="115" spans="1:11" x14ac:dyDescent="0.25">
      <c r="A115" s="54"/>
      <c r="B115" s="13"/>
      <c r="C115" s="96" t="s">
        <v>218</v>
      </c>
      <c r="D115" s="13"/>
      <c r="E115" s="13"/>
      <c r="F115" s="13"/>
      <c r="G115" s="13"/>
      <c r="H115" s="13"/>
      <c r="I115" s="14" t="str">
        <f>"Line "&amp;A34&amp;""</f>
        <v>Line 18</v>
      </c>
    </row>
    <row r="116" spans="1:11" x14ac:dyDescent="0.25">
      <c r="A116" s="54"/>
      <c r="B116" s="13"/>
      <c r="C116" s="442" t="s">
        <v>1734</v>
      </c>
      <c r="D116" s="13"/>
      <c r="E116" s="13"/>
      <c r="F116" s="13"/>
      <c r="G116" s="13"/>
      <c r="H116" s="13"/>
      <c r="I116" s="14" t="str">
        <f>"Line "&amp;A93&amp;""</f>
        <v>Line 55</v>
      </c>
    </row>
    <row r="117" spans="1:11" x14ac:dyDescent="0.25">
      <c r="A117" s="54"/>
      <c r="B117" s="13"/>
      <c r="C117" s="96" t="s">
        <v>219</v>
      </c>
      <c r="D117" s="13"/>
      <c r="E117" s="13"/>
      <c r="F117" s="13"/>
      <c r="G117" s="13"/>
      <c r="H117" s="13"/>
      <c r="I117" s="14" t="str">
        <f>"Line "&amp;A102&amp;""</f>
        <v>Line 59</v>
      </c>
    </row>
    <row r="118" spans="1:11" x14ac:dyDescent="0.25">
      <c r="A118" s="54"/>
      <c r="B118" s="13"/>
      <c r="C118" s="96" t="s">
        <v>220</v>
      </c>
      <c r="D118" s="13"/>
      <c r="E118" s="13"/>
      <c r="F118" s="13"/>
      <c r="G118" s="13"/>
      <c r="H118" s="13"/>
      <c r="I118" s="14" t="str">
        <f>"Line "&amp;A108&amp;""</f>
        <v>Line 63</v>
      </c>
    </row>
    <row r="119" spans="1:11" x14ac:dyDescent="0.25">
      <c r="A119" s="462"/>
      <c r="B119" s="13"/>
      <c r="C119" s="96" t="s">
        <v>1731</v>
      </c>
      <c r="D119" s="13"/>
      <c r="E119" s="13"/>
      <c r="F119" s="13"/>
      <c r="G119" s="13"/>
      <c r="H119" s="13"/>
      <c r="I119" s="13" t="s">
        <v>33</v>
      </c>
      <c r="K119" s="922">
        <v>0</v>
      </c>
    </row>
    <row r="121" spans="1:11" x14ac:dyDescent="0.25">
      <c r="A121" s="9" t="s">
        <v>63</v>
      </c>
      <c r="B121" s="10"/>
      <c r="C121" s="10"/>
      <c r="D121" s="10"/>
      <c r="E121" s="10"/>
      <c r="F121" s="10"/>
      <c r="G121" s="10"/>
      <c r="H121" s="8"/>
      <c r="I121" s="8"/>
      <c r="J121" s="8"/>
      <c r="K121" s="8"/>
    </row>
    <row r="123" spans="1:11" x14ac:dyDescent="0.25">
      <c r="B123" s="68" t="s">
        <v>266</v>
      </c>
    </row>
    <row r="124" spans="1:11" x14ac:dyDescent="0.25">
      <c r="A124" s="94">
        <f>A112+1</f>
        <v>66</v>
      </c>
      <c r="B124" t="s">
        <v>102</v>
      </c>
      <c r="H124" s="15"/>
      <c r="I124" s="13" t="str">
        <f>"19-OandM, Line "&amp;'19-OandM'!A124&amp;", Col. 6"</f>
        <v>19-OandM, Line 91, Col. 6</v>
      </c>
      <c r="K124" s="924">
        <v>0</v>
      </c>
    </row>
    <row r="125" spans="1:11" x14ac:dyDescent="0.25">
      <c r="A125" s="94">
        <f t="shared" ref="A125:A139" si="1">A124+1</f>
        <v>67</v>
      </c>
      <c r="B125" s="11" t="s">
        <v>267</v>
      </c>
      <c r="H125" s="15"/>
      <c r="I125" s="13" t="str">
        <f>"20-AandG, Line "&amp;'20-AandG'!A30&amp;""</f>
        <v>20-AandG, Line 23</v>
      </c>
      <c r="K125" s="924">
        <v>0</v>
      </c>
    </row>
    <row r="126" spans="1:11" x14ac:dyDescent="0.25">
      <c r="A126" s="94">
        <f t="shared" si="1"/>
        <v>68</v>
      </c>
      <c r="B126" t="s">
        <v>57</v>
      </c>
      <c r="H126" s="15"/>
      <c r="I126" s="14" t="str">
        <f>"22-NUCs, Line "&amp;'22-NUCs'!A17&amp;""</f>
        <v>22-NUCs, Line 8</v>
      </c>
      <c r="K126" s="924">
        <v>0</v>
      </c>
    </row>
    <row r="127" spans="1:11" x14ac:dyDescent="0.25">
      <c r="A127" s="94">
        <f t="shared" si="1"/>
        <v>69</v>
      </c>
      <c r="B127" s="11" t="s">
        <v>253</v>
      </c>
      <c r="H127" s="15"/>
      <c r="I127" s="13" t="str">
        <f>"17-Depreciation, Line "&amp;'17-Depreciation'!A95&amp;""</f>
        <v>17-Depreciation, Line 70</v>
      </c>
      <c r="K127" s="924">
        <v>0</v>
      </c>
    </row>
    <row r="128" spans="1:11" x14ac:dyDescent="0.25">
      <c r="A128" s="94">
        <f t="shared" si="1"/>
        <v>70</v>
      </c>
      <c r="B128" s="11" t="s">
        <v>294</v>
      </c>
      <c r="H128" s="15"/>
      <c r="I128" s="13" t="str">
        <f>"12-AbandonedPlant, Line "&amp;'12-AbandonedPlant'!A18&amp;""</f>
        <v>12-AbandonedPlant, Line 1</v>
      </c>
      <c r="K128" s="924">
        <v>0</v>
      </c>
    </row>
    <row r="129" spans="1:11" x14ac:dyDescent="0.25">
      <c r="A129" s="94">
        <f t="shared" si="1"/>
        <v>71</v>
      </c>
      <c r="B129" s="11" t="s">
        <v>80</v>
      </c>
      <c r="H129" s="15"/>
      <c r="I129" s="13" t="str">
        <f>"Line "&amp;A58&amp;""</f>
        <v>Line 36</v>
      </c>
      <c r="K129" s="924">
        <v>0</v>
      </c>
    </row>
    <row r="130" spans="1:11" x14ac:dyDescent="0.25">
      <c r="A130" s="94">
        <f t="shared" si="1"/>
        <v>72</v>
      </c>
      <c r="B130" t="s">
        <v>11</v>
      </c>
      <c r="H130" s="40" t="s">
        <v>152</v>
      </c>
      <c r="I130" s="13" t="str">
        <f>"21-Revenue Credits, Line "&amp;'21-RevenueCredits'!A202&amp;""</f>
        <v>21-Revenue Credits, Line 44</v>
      </c>
      <c r="K130" s="924">
        <v>0</v>
      </c>
    </row>
    <row r="131" spans="1:11" x14ac:dyDescent="0.25">
      <c r="A131" s="94">
        <f t="shared" si="1"/>
        <v>73</v>
      </c>
      <c r="B131" t="s">
        <v>88</v>
      </c>
      <c r="H131" s="15"/>
      <c r="I131" s="13" t="str">
        <f>"Line "&amp;A95&amp;""</f>
        <v>Line 56</v>
      </c>
      <c r="K131" s="924">
        <v>0</v>
      </c>
    </row>
    <row r="132" spans="1:11" x14ac:dyDescent="0.25">
      <c r="A132" s="94">
        <f t="shared" si="1"/>
        <v>74</v>
      </c>
      <c r="B132" t="s">
        <v>5</v>
      </c>
      <c r="H132" s="15"/>
      <c r="I132" s="13" t="str">
        <f>"Line "&amp;A110&amp;""</f>
        <v>Line 64</v>
      </c>
      <c r="K132" s="924">
        <v>0</v>
      </c>
    </row>
    <row r="133" spans="1:11" x14ac:dyDescent="0.25">
      <c r="A133" s="94">
        <f t="shared" si="1"/>
        <v>75</v>
      </c>
      <c r="B133" t="s">
        <v>952</v>
      </c>
      <c r="H133" s="12" t="s">
        <v>1162</v>
      </c>
      <c r="I133" s="14" t="str">
        <f>"11-PHFU, Line "&amp;'11-PHFU'!A46&amp;""</f>
        <v>11-PHFU, Line 10</v>
      </c>
      <c r="K133" s="924">
        <v>0</v>
      </c>
    </row>
    <row r="134" spans="1:11" x14ac:dyDescent="0.25">
      <c r="A134" s="94">
        <f t="shared" si="1"/>
        <v>76</v>
      </c>
      <c r="B134" s="560" t="s">
        <v>1719</v>
      </c>
      <c r="C134" s="672"/>
      <c r="D134" s="13"/>
      <c r="E134" s="13"/>
      <c r="H134" s="15"/>
      <c r="I134" s="14" t="str">
        <f>"23-RegAssets, Line "&amp;'23-RegAssets'!A19&amp;""</f>
        <v>23-RegAssets, Line 16</v>
      </c>
      <c r="K134" s="924">
        <v>0</v>
      </c>
    </row>
    <row r="135" spans="1:11" ht="15" x14ac:dyDescent="0.4">
      <c r="A135" s="94">
        <f t="shared" si="1"/>
        <v>77</v>
      </c>
      <c r="B135" s="11" t="s">
        <v>268</v>
      </c>
      <c r="H135" s="15"/>
      <c r="I135" s="13" t="str">
        <f>"15-IncentiveAdder, Line "&amp;'15-IncentiveAdder'!A44&amp;""</f>
        <v>15-IncentiveAdder, Line 14</v>
      </c>
      <c r="K135" s="925">
        <v>0</v>
      </c>
    </row>
    <row r="136" spans="1:11" x14ac:dyDescent="0.25">
      <c r="A136" s="94">
        <f t="shared" si="1"/>
        <v>78</v>
      </c>
      <c r="B136" s="11" t="s">
        <v>1446</v>
      </c>
      <c r="H136" s="15"/>
      <c r="I136" s="13" t="str">
        <f>"Sum of Lines "&amp;A124&amp;" to "&amp;A135&amp;""</f>
        <v>Sum of Lines 66 to 77</v>
      </c>
      <c r="K136" s="924">
        <v>0</v>
      </c>
    </row>
    <row r="137" spans="1:11" x14ac:dyDescent="0.25">
      <c r="A137" s="94"/>
      <c r="B137" s="11"/>
      <c r="H137" s="15"/>
      <c r="I137" s="13"/>
      <c r="K137" s="6"/>
    </row>
    <row r="138" spans="1:11" x14ac:dyDescent="0.25">
      <c r="A138" s="94">
        <f>A136+1</f>
        <v>79</v>
      </c>
      <c r="B138" s="11" t="s">
        <v>289</v>
      </c>
      <c r="I138" s="13" t="str">
        <f>"L "&amp;A136&amp;" * FF Factor (28-FFU, L "&amp;'28-FFU'!A22&amp;")"</f>
        <v>L 78 * FF Factor (28-FFU, L 5)</v>
      </c>
      <c r="J138" s="13"/>
      <c r="K138" s="924">
        <v>0</v>
      </c>
    </row>
    <row r="139" spans="1:11" x14ac:dyDescent="0.25">
      <c r="A139" s="94">
        <f t="shared" si="1"/>
        <v>80</v>
      </c>
      <c r="B139" s="11" t="s">
        <v>288</v>
      </c>
      <c r="I139" s="13" t="str">
        <f>"L "&amp;A136&amp;" * U Factor (28-FFU, L "&amp;'28-FFU'!A22&amp;")"</f>
        <v>L 78 * U Factor (28-FFU, L 5)</v>
      </c>
      <c r="J139" s="13"/>
      <c r="K139" s="924">
        <v>0</v>
      </c>
    </row>
    <row r="140" spans="1:11" x14ac:dyDescent="0.25">
      <c r="A140" s="94"/>
      <c r="B140" s="11"/>
      <c r="K140" s="6"/>
    </row>
    <row r="141" spans="1:11" x14ac:dyDescent="0.25">
      <c r="A141" s="94">
        <f>A139+1</f>
        <v>81</v>
      </c>
      <c r="B141" s="11" t="s">
        <v>96</v>
      </c>
      <c r="I141" t="str">
        <f>"Line "&amp;A136&amp;" + Line "&amp;A138&amp;"+ Line "&amp;A139&amp;""</f>
        <v>Line 78 + Line 79+ Line 80</v>
      </c>
      <c r="K141" s="924">
        <v>0</v>
      </c>
    </row>
    <row r="143" spans="1:11" x14ac:dyDescent="0.25">
      <c r="A143" s="9" t="s">
        <v>269</v>
      </c>
      <c r="B143" s="10"/>
      <c r="C143" s="10"/>
      <c r="D143" s="10"/>
      <c r="E143" s="10"/>
      <c r="F143" s="10"/>
      <c r="G143" s="10"/>
      <c r="H143" s="8"/>
      <c r="I143" s="8"/>
      <c r="J143" s="8"/>
      <c r="K143" s="8"/>
    </row>
    <row r="145" spans="1:11" x14ac:dyDescent="0.25">
      <c r="B145" s="68" t="s">
        <v>1643</v>
      </c>
    </row>
    <row r="146" spans="1:11" x14ac:dyDescent="0.25">
      <c r="A146" s="94">
        <f>A141+1</f>
        <v>82</v>
      </c>
      <c r="B146" t="s">
        <v>96</v>
      </c>
      <c r="I146" t="str">
        <f>"Line "&amp;A141&amp;""</f>
        <v>Line 81</v>
      </c>
      <c r="K146" s="924">
        <v>0</v>
      </c>
    </row>
    <row r="147" spans="1:11" x14ac:dyDescent="0.25">
      <c r="A147" s="94">
        <f>A146+1</f>
        <v>83</v>
      </c>
      <c r="B147" t="s">
        <v>321</v>
      </c>
      <c r="I147" s="14" t="str">
        <f>"2-IFPTRR, Line "&amp;'2-IFPTRR'!A91&amp;""</f>
        <v>2-IFPTRR, Line 82</v>
      </c>
      <c r="K147" s="924">
        <v>0</v>
      </c>
    </row>
    <row r="148" spans="1:11" x14ac:dyDescent="0.25">
      <c r="A148" s="94">
        <f>A147+1</f>
        <v>84</v>
      </c>
      <c r="B148" s="11" t="s">
        <v>29</v>
      </c>
      <c r="H148" s="11"/>
      <c r="I148" s="14" t="str">
        <f>"3-TrueUpAdjust, Line "&amp;'3-TrueUpAdjust'!A44&amp;""</f>
        <v>3-TrueUpAdjust, Line 30</v>
      </c>
      <c r="K148" s="924">
        <v>0</v>
      </c>
    </row>
    <row r="149" spans="1:11" ht="15" x14ac:dyDescent="0.4">
      <c r="A149" s="94">
        <f>A148+1</f>
        <v>85</v>
      </c>
      <c r="B149" s="445" t="s">
        <v>1897</v>
      </c>
      <c r="C149" s="13"/>
      <c r="H149" s="443" t="s">
        <v>1182</v>
      </c>
      <c r="I149" s="13"/>
      <c r="K149" s="923">
        <v>0</v>
      </c>
    </row>
    <row r="150" spans="1:11" x14ac:dyDescent="0.25">
      <c r="A150" s="94"/>
      <c r="I150" s="13"/>
      <c r="K150" s="6"/>
    </row>
    <row r="151" spans="1:11" x14ac:dyDescent="0.25">
      <c r="A151" s="94">
        <f>A149+1</f>
        <v>86</v>
      </c>
      <c r="B151" s="443" t="s">
        <v>1641</v>
      </c>
      <c r="H151" s="11" t="s">
        <v>270</v>
      </c>
      <c r="I151" s="13" t="str">
        <f>"L "&amp;A146&amp;" + L "&amp;A147&amp;" + L "&amp;A148&amp;" + L "&amp;A149&amp;""</f>
        <v>L 82 + L 83 + L 84 + L 85</v>
      </c>
      <c r="K151" s="924">
        <v>0</v>
      </c>
    </row>
    <row r="152" spans="1:11" x14ac:dyDescent="0.25">
      <c r="A152" s="94"/>
      <c r="I152" s="13"/>
      <c r="K152" s="6"/>
    </row>
    <row r="153" spans="1:11" x14ac:dyDescent="0.25">
      <c r="A153" s="94"/>
      <c r="B153" s="68" t="s">
        <v>1642</v>
      </c>
      <c r="I153" s="13"/>
      <c r="K153" s="6"/>
    </row>
    <row r="154" spans="1:11" x14ac:dyDescent="0.25">
      <c r="A154" s="94">
        <f>A151+1</f>
        <v>87</v>
      </c>
      <c r="B154" t="s">
        <v>1377</v>
      </c>
      <c r="I154" s="13" t="str">
        <f>"Line "&amp;A151&amp;""</f>
        <v>Line 86</v>
      </c>
      <c r="K154" s="924">
        <v>0</v>
      </c>
    </row>
    <row r="155" spans="1:11" ht="15" x14ac:dyDescent="0.4">
      <c r="A155" s="94">
        <f>A154+1</f>
        <v>88</v>
      </c>
      <c r="B155" t="s">
        <v>1376</v>
      </c>
      <c r="I155" s="14" t="str">
        <f>"25-WholesaleDifference, Line "&amp;'25-WholesaleDifference'!A93&amp;""</f>
        <v>25-WholesaleDifference, Line 45</v>
      </c>
      <c r="K155" s="925">
        <v>0</v>
      </c>
    </row>
    <row r="156" spans="1:11" x14ac:dyDescent="0.25">
      <c r="A156" s="94">
        <f>A155+1</f>
        <v>89</v>
      </c>
      <c r="B156" t="s">
        <v>1642</v>
      </c>
      <c r="I156" t="str">
        <f>"Line "&amp;A154&amp;" + Line "&amp;A155&amp;""</f>
        <v>Line 87 + Line 88</v>
      </c>
      <c r="K156" s="924">
        <v>0</v>
      </c>
    </row>
    <row r="157" spans="1:11" x14ac:dyDescent="0.25">
      <c r="A157" s="13"/>
      <c r="H157" s="11"/>
    </row>
    <row r="159" spans="1:11" x14ac:dyDescent="0.25">
      <c r="B159" s="44" t="s">
        <v>233</v>
      </c>
    </row>
    <row r="160" spans="1:11" x14ac:dyDescent="0.25">
      <c r="B160" s="443" t="s">
        <v>2352</v>
      </c>
    </row>
    <row r="161" spans="2:11" x14ac:dyDescent="0.25">
      <c r="B161" s="447" t="s">
        <v>2353</v>
      </c>
    </row>
    <row r="162" spans="2:11" x14ac:dyDescent="0.25">
      <c r="B162" s="445" t="s">
        <v>2350</v>
      </c>
      <c r="C162" s="13"/>
      <c r="D162" s="13"/>
      <c r="E162" s="13"/>
      <c r="F162" s="13"/>
      <c r="G162" s="13"/>
      <c r="H162" s="13"/>
      <c r="I162" s="13"/>
      <c r="J162" s="13"/>
      <c r="K162" s="13"/>
    </row>
    <row r="163" spans="2:11" x14ac:dyDescent="0.25">
      <c r="B163" s="445" t="s">
        <v>1659</v>
      </c>
      <c r="C163" s="13"/>
      <c r="D163" s="13"/>
      <c r="E163" s="13"/>
      <c r="F163" s="13"/>
      <c r="G163" s="13"/>
      <c r="H163" s="13"/>
      <c r="I163" s="13"/>
      <c r="J163" s="13"/>
      <c r="K163" s="13"/>
    </row>
    <row r="164" spans="2:11" x14ac:dyDescent="0.25">
      <c r="B164" s="445" t="s">
        <v>1827</v>
      </c>
      <c r="C164" s="13"/>
      <c r="D164" s="13"/>
      <c r="E164" s="13"/>
      <c r="F164" s="13"/>
      <c r="G164" s="13"/>
      <c r="H164" s="13"/>
      <c r="I164" s="13"/>
      <c r="J164" s="13"/>
      <c r="K164" s="13"/>
    </row>
    <row r="165" spans="2:11" x14ac:dyDescent="0.25">
      <c r="B165" s="445"/>
      <c r="C165" s="13" t="s">
        <v>1826</v>
      </c>
      <c r="D165" s="13"/>
      <c r="E165" s="13"/>
      <c r="F165" s="971" t="s">
        <v>77</v>
      </c>
      <c r="G165" s="86"/>
      <c r="H165" s="86"/>
      <c r="I165" s="13"/>
      <c r="J165" s="13"/>
      <c r="K165" s="13"/>
    </row>
    <row r="166" spans="2:11" x14ac:dyDescent="0.25">
      <c r="B166" s="443" t="s">
        <v>2690</v>
      </c>
      <c r="C166" s="13"/>
      <c r="D166" s="13"/>
      <c r="E166" s="13"/>
      <c r="F166" s="13"/>
      <c r="G166" s="13"/>
      <c r="H166" s="13"/>
      <c r="I166" s="13"/>
    </row>
    <row r="167" spans="2:11" x14ac:dyDescent="0.25">
      <c r="B167" s="15" t="s">
        <v>2494</v>
      </c>
    </row>
    <row r="168" spans="2:11" x14ac:dyDescent="0.25">
      <c r="B168" s="447" t="s">
        <v>2691</v>
      </c>
    </row>
    <row r="169" spans="2:11" x14ac:dyDescent="0.25">
      <c r="B169" s="445" t="s">
        <v>2351</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671" t="s">
        <v>1988</v>
      </c>
      <c r="B1" s="671"/>
      <c r="C1" s="672"/>
      <c r="D1" s="672"/>
      <c r="G1" s="672"/>
      <c r="H1" s="672"/>
      <c r="I1" s="672"/>
      <c r="J1" s="672"/>
      <c r="K1" s="672"/>
      <c r="L1" s="672"/>
      <c r="M1" s="672"/>
      <c r="N1" s="13"/>
      <c r="O1" s="13"/>
      <c r="P1" s="13"/>
      <c r="Q1" s="13"/>
      <c r="R1" s="13"/>
      <c r="S1" s="13"/>
      <c r="T1" s="13"/>
    </row>
    <row r="2" spans="1:20" x14ac:dyDescent="0.25">
      <c r="A2" s="13"/>
      <c r="B2" s="13"/>
      <c r="C2" s="445"/>
      <c r="D2" s="13"/>
      <c r="E2" s="13"/>
      <c r="F2" s="13"/>
      <c r="G2" s="13"/>
      <c r="H2" s="13"/>
      <c r="I2" s="13"/>
      <c r="J2" s="13"/>
      <c r="K2" s="13"/>
      <c r="L2" s="13"/>
      <c r="M2" s="13"/>
      <c r="N2" s="13"/>
      <c r="O2" s="13"/>
      <c r="P2" s="13"/>
      <c r="Q2" s="13"/>
      <c r="R2" s="13"/>
      <c r="S2" s="13"/>
      <c r="T2" s="13"/>
    </row>
    <row r="3" spans="1:20" x14ac:dyDescent="0.25">
      <c r="A3" s="673" t="s">
        <v>332</v>
      </c>
      <c r="B3" s="673"/>
      <c r="C3" s="672"/>
      <c r="D3" s="672"/>
      <c r="E3" s="672"/>
      <c r="F3" s="672"/>
      <c r="G3" s="672"/>
      <c r="H3" s="672"/>
      <c r="I3" s="672"/>
      <c r="J3" s="672"/>
      <c r="K3" s="672"/>
      <c r="L3" s="672"/>
      <c r="M3" s="672"/>
      <c r="N3" s="13"/>
      <c r="O3" s="13"/>
      <c r="P3" s="13"/>
      <c r="Q3" s="13"/>
      <c r="R3" s="13"/>
      <c r="S3" s="13"/>
      <c r="T3" s="13"/>
    </row>
    <row r="4" spans="1:20" x14ac:dyDescent="0.25">
      <c r="A4" s="674">
        <v>1</v>
      </c>
      <c r="B4" s="674"/>
      <c r="C4" s="560"/>
      <c r="D4" s="560"/>
      <c r="E4" s="560"/>
      <c r="F4" s="560"/>
      <c r="G4" s="672"/>
      <c r="H4" s="672"/>
      <c r="I4" s="672"/>
      <c r="J4" s="672"/>
      <c r="K4" s="672"/>
      <c r="L4" s="672"/>
      <c r="M4" s="672"/>
      <c r="N4" s="13"/>
      <c r="O4" s="13"/>
      <c r="P4" s="13"/>
      <c r="Q4" s="13"/>
      <c r="R4" s="13"/>
      <c r="S4" s="13"/>
      <c r="T4" s="13"/>
    </row>
    <row r="5" spans="1:20" x14ac:dyDescent="0.25">
      <c r="A5" s="554">
        <v>2</v>
      </c>
      <c r="B5" s="554"/>
      <c r="C5" s="560"/>
      <c r="D5" s="560"/>
      <c r="E5" s="560"/>
      <c r="F5" s="560"/>
      <c r="G5" s="672"/>
      <c r="H5" s="672"/>
      <c r="I5" s="672"/>
      <c r="J5" s="672"/>
      <c r="K5" s="672"/>
      <c r="L5" s="672"/>
      <c r="M5" s="672"/>
      <c r="N5" s="13"/>
      <c r="O5" s="13"/>
    </row>
    <row r="6" spans="1:20" x14ac:dyDescent="0.25">
      <c r="A6" s="554">
        <v>3</v>
      </c>
      <c r="B6" s="554"/>
      <c r="C6" s="555"/>
      <c r="D6" s="555"/>
      <c r="E6" s="555"/>
      <c r="F6" s="555"/>
      <c r="G6" s="552"/>
      <c r="H6" s="552"/>
      <c r="I6" s="552"/>
      <c r="J6" s="552"/>
      <c r="K6" s="554" t="s">
        <v>64</v>
      </c>
      <c r="L6" s="552"/>
      <c r="M6" s="552"/>
    </row>
    <row r="7" spans="1:20" x14ac:dyDescent="0.25">
      <c r="A7" s="554">
        <v>4</v>
      </c>
      <c r="B7" s="554"/>
      <c r="C7" s="552"/>
      <c r="D7" s="552"/>
      <c r="E7" s="675" t="s">
        <v>206</v>
      </c>
      <c r="F7" s="676"/>
      <c r="G7" s="552"/>
      <c r="H7" s="552"/>
      <c r="I7" s="552"/>
      <c r="J7" s="552"/>
      <c r="K7" s="677" t="s">
        <v>176</v>
      </c>
      <c r="L7" s="552"/>
      <c r="M7" s="557"/>
    </row>
    <row r="8" spans="1:20" x14ac:dyDescent="0.25">
      <c r="A8" s="554">
        <v>5</v>
      </c>
      <c r="B8" s="554"/>
      <c r="C8" s="555"/>
      <c r="D8" s="555"/>
      <c r="E8" s="555"/>
      <c r="F8" s="555"/>
      <c r="G8" s="552"/>
      <c r="H8" s="552"/>
      <c r="I8" s="552"/>
      <c r="J8" s="552"/>
      <c r="K8" s="558"/>
      <c r="L8" s="552"/>
      <c r="M8" s="555"/>
    </row>
    <row r="9" spans="1:20" x14ac:dyDescent="0.25">
      <c r="A9" s="554">
        <v>6</v>
      </c>
      <c r="B9" s="554"/>
      <c r="C9" s="671" t="s">
        <v>2009</v>
      </c>
      <c r="D9" s="560"/>
      <c r="E9" s="560" t="s">
        <v>2010</v>
      </c>
      <c r="F9" s="560"/>
      <c r="G9" s="672"/>
      <c r="H9" s="672"/>
      <c r="I9" s="672"/>
      <c r="J9" s="672"/>
      <c r="K9" s="940">
        <v>0</v>
      </c>
      <c r="L9" s="552"/>
      <c r="M9" s="555"/>
      <c r="N9" s="678"/>
    </row>
    <row r="10" spans="1:20" ht="13.8" thickBot="1" x14ac:dyDescent="0.3">
      <c r="A10" s="554">
        <v>7</v>
      </c>
      <c r="B10" s="554"/>
      <c r="C10" s="671" t="s">
        <v>2008</v>
      </c>
      <c r="D10" s="673"/>
      <c r="E10" s="560" t="s">
        <v>1989</v>
      </c>
      <c r="F10" s="560"/>
      <c r="G10" s="672"/>
      <c r="H10" s="672"/>
      <c r="I10" s="672"/>
      <c r="J10" s="672"/>
      <c r="K10" s="958">
        <v>0</v>
      </c>
      <c r="L10" s="552"/>
      <c r="M10" s="555"/>
    </row>
    <row r="11" spans="1:20" ht="13.8" thickTop="1" x14ac:dyDescent="0.25">
      <c r="A11" s="554">
        <v>8</v>
      </c>
      <c r="B11" s="554"/>
      <c r="C11" s="560"/>
      <c r="D11" s="560"/>
      <c r="E11" s="560"/>
      <c r="F11" s="560"/>
      <c r="G11" s="672"/>
      <c r="H11" s="672"/>
      <c r="I11" s="672"/>
      <c r="J11" s="672"/>
      <c r="K11" s="558"/>
      <c r="L11" s="552"/>
      <c r="M11" s="552"/>
    </row>
    <row r="12" spans="1:20" x14ac:dyDescent="0.25">
      <c r="A12" s="554">
        <v>9</v>
      </c>
      <c r="B12" s="554"/>
      <c r="C12" s="672"/>
      <c r="D12" s="672"/>
      <c r="E12" s="672"/>
      <c r="F12" s="672"/>
      <c r="G12" s="679" t="s">
        <v>363</v>
      </c>
      <c r="H12" s="679"/>
      <c r="I12" s="679" t="s">
        <v>347</v>
      </c>
      <c r="J12" s="679"/>
      <c r="K12" s="679" t="s">
        <v>348</v>
      </c>
      <c r="L12" s="552"/>
      <c r="M12" s="552"/>
    </row>
    <row r="13" spans="1:20" x14ac:dyDescent="0.25">
      <c r="A13" s="554">
        <v>10</v>
      </c>
      <c r="B13" s="554"/>
      <c r="C13" s="672"/>
      <c r="D13" s="672"/>
      <c r="E13" s="672"/>
      <c r="F13" s="672"/>
      <c r="G13" s="674" t="s">
        <v>64</v>
      </c>
      <c r="H13" s="674"/>
      <c r="I13" s="674" t="s">
        <v>64</v>
      </c>
      <c r="J13" s="676"/>
      <c r="K13" s="674" t="s">
        <v>64</v>
      </c>
      <c r="L13" s="552"/>
      <c r="M13" s="552"/>
    </row>
    <row r="14" spans="1:20" ht="14.4" x14ac:dyDescent="0.3">
      <c r="A14" s="554">
        <v>11</v>
      </c>
      <c r="B14" s="554"/>
      <c r="C14" s="674"/>
      <c r="D14" s="674"/>
      <c r="E14" s="674"/>
      <c r="F14" s="674"/>
      <c r="G14" s="674" t="s">
        <v>385</v>
      </c>
      <c r="H14" s="674"/>
      <c r="I14" s="674" t="s">
        <v>302</v>
      </c>
      <c r="J14" s="676"/>
      <c r="K14" s="680" t="s">
        <v>232</v>
      </c>
      <c r="L14" s="552"/>
      <c r="M14" s="552"/>
    </row>
    <row r="15" spans="1:20" x14ac:dyDescent="0.25">
      <c r="A15" s="554">
        <v>12</v>
      </c>
      <c r="B15" s="554"/>
      <c r="C15" s="554" t="s">
        <v>414</v>
      </c>
      <c r="D15" s="554"/>
      <c r="E15" s="554"/>
      <c r="F15" s="554"/>
      <c r="G15" s="554" t="s">
        <v>1990</v>
      </c>
      <c r="H15" s="676"/>
      <c r="I15" s="554" t="s">
        <v>1990</v>
      </c>
      <c r="J15" s="676"/>
      <c r="K15" s="554" t="s">
        <v>1990</v>
      </c>
      <c r="L15" s="552"/>
      <c r="M15" s="552"/>
    </row>
    <row r="16" spans="1:20" x14ac:dyDescent="0.25">
      <c r="A16" s="554">
        <v>13</v>
      </c>
      <c r="B16" s="554"/>
      <c r="C16" s="556" t="s">
        <v>1987</v>
      </c>
      <c r="D16" s="556"/>
      <c r="E16" s="556"/>
      <c r="F16" s="556"/>
      <c r="G16" s="677" t="s">
        <v>1991</v>
      </c>
      <c r="H16" s="676"/>
      <c r="I16" s="677" t="s">
        <v>1991</v>
      </c>
      <c r="J16" s="676"/>
      <c r="K16" s="677" t="s">
        <v>1991</v>
      </c>
      <c r="L16" s="552"/>
      <c r="M16" s="552"/>
    </row>
    <row r="17" spans="1:14" x14ac:dyDescent="0.25">
      <c r="A17" s="554">
        <v>14</v>
      </c>
      <c r="B17" s="554"/>
      <c r="C17" s="560" t="s">
        <v>1992</v>
      </c>
      <c r="D17" s="560"/>
      <c r="E17" s="443" t="s">
        <v>2219</v>
      </c>
      <c r="F17" s="443"/>
      <c r="G17" s="940">
        <v>0</v>
      </c>
      <c r="H17" s="940">
        <v>0</v>
      </c>
      <c r="I17" s="940">
        <v>0</v>
      </c>
      <c r="J17" s="940">
        <v>0</v>
      </c>
      <c r="K17" s="940">
        <v>0</v>
      </c>
      <c r="L17" s="552"/>
      <c r="M17" s="552"/>
      <c r="N17" s="552"/>
    </row>
    <row r="18" spans="1:14" x14ac:dyDescent="0.25">
      <c r="A18" s="554">
        <v>15</v>
      </c>
      <c r="B18" s="554"/>
      <c r="C18" s="560" t="s">
        <v>1993</v>
      </c>
      <c r="D18" s="560"/>
      <c r="E18" s="560" t="s">
        <v>2220</v>
      </c>
      <c r="F18" s="560"/>
      <c r="G18" s="940">
        <v>0</v>
      </c>
      <c r="H18" s="940">
        <v>0</v>
      </c>
      <c r="I18" s="940">
        <v>0</v>
      </c>
      <c r="J18" s="940">
        <v>0</v>
      </c>
      <c r="K18" s="940">
        <v>0</v>
      </c>
      <c r="L18" s="552"/>
      <c r="M18" s="552"/>
      <c r="N18" s="552"/>
    </row>
    <row r="19" spans="1:14" ht="15" x14ac:dyDescent="0.4">
      <c r="A19" s="554">
        <v>16</v>
      </c>
      <c r="B19" s="554"/>
      <c r="C19" s="560" t="s">
        <v>1994</v>
      </c>
      <c r="D19" s="560"/>
      <c r="E19" s="560" t="s">
        <v>2221</v>
      </c>
      <c r="F19" s="560"/>
      <c r="G19" s="941">
        <v>0</v>
      </c>
      <c r="H19" s="941">
        <v>0</v>
      </c>
      <c r="I19" s="941">
        <v>0</v>
      </c>
      <c r="J19" s="941">
        <v>0</v>
      </c>
      <c r="K19" s="941">
        <v>0</v>
      </c>
      <c r="L19" s="552"/>
      <c r="M19" s="552"/>
    </row>
    <row r="20" spans="1:14" ht="13.8" thickBot="1" x14ac:dyDescent="0.3">
      <c r="A20" s="554">
        <v>17</v>
      </c>
      <c r="B20" s="554"/>
      <c r="C20" s="555" t="s">
        <v>198</v>
      </c>
      <c r="D20" s="555"/>
      <c r="E20" s="555" t="s">
        <v>1995</v>
      </c>
      <c r="F20" s="555"/>
      <c r="G20" s="958">
        <v>0</v>
      </c>
      <c r="H20" s="681"/>
      <c r="I20" s="958">
        <v>0</v>
      </c>
      <c r="J20" s="958">
        <v>0</v>
      </c>
      <c r="K20" s="958">
        <v>0</v>
      </c>
      <c r="L20" s="552"/>
      <c r="M20" s="555"/>
      <c r="N20" s="443" t="s">
        <v>331</v>
      </c>
    </row>
    <row r="21" spans="1:14" ht="13.8" thickTop="1" x14ac:dyDescent="0.25">
      <c r="A21" s="554">
        <v>18</v>
      </c>
      <c r="B21" s="554"/>
      <c r="C21" s="552"/>
      <c r="D21" s="552"/>
      <c r="E21" s="552"/>
      <c r="F21" s="552"/>
      <c r="G21" s="552"/>
      <c r="H21" s="682"/>
      <c r="I21" s="552"/>
      <c r="J21" s="682"/>
      <c r="K21" s="552"/>
      <c r="L21" s="552"/>
      <c r="M21" s="552"/>
    </row>
    <row r="22" spans="1:14" x14ac:dyDescent="0.25">
      <c r="A22" s="554">
        <v>19</v>
      </c>
      <c r="B22" s="554"/>
      <c r="C22" s="553" t="s">
        <v>1996</v>
      </c>
      <c r="D22" s="553"/>
      <c r="E22" s="553"/>
      <c r="F22" s="553"/>
      <c r="G22" s="552"/>
      <c r="H22" s="682"/>
      <c r="I22" s="552"/>
      <c r="J22" s="682"/>
      <c r="K22" s="552"/>
      <c r="L22" s="552"/>
      <c r="M22" s="552"/>
    </row>
    <row r="23" spans="1:14" x14ac:dyDescent="0.25">
      <c r="A23" s="554">
        <v>20</v>
      </c>
      <c r="B23" s="554"/>
      <c r="H23" s="505"/>
      <c r="J23" s="505"/>
      <c r="K23" s="444" t="s">
        <v>232</v>
      </c>
    </row>
    <row r="24" spans="1:14" x14ac:dyDescent="0.25">
      <c r="A24" s="554">
        <v>21</v>
      </c>
      <c r="B24" s="554"/>
      <c r="C24" s="553" t="s">
        <v>108</v>
      </c>
      <c r="D24" s="553"/>
      <c r="E24" s="553"/>
      <c r="F24" s="553"/>
      <c r="G24" s="363" t="s">
        <v>385</v>
      </c>
      <c r="H24" s="683"/>
      <c r="I24" s="363" t="s">
        <v>302</v>
      </c>
      <c r="J24" s="683"/>
      <c r="K24" s="969" t="s">
        <v>1997</v>
      </c>
      <c r="M24" s="461" t="s">
        <v>331</v>
      </c>
    </row>
    <row r="25" spans="1:14" x14ac:dyDescent="0.25">
      <c r="A25" s="554">
        <v>22</v>
      </c>
      <c r="B25" s="554"/>
      <c r="C25" t="s">
        <v>1998</v>
      </c>
      <c r="E25" s="560" t="s">
        <v>1999</v>
      </c>
      <c r="F25" s="560"/>
      <c r="G25" s="932">
        <v>0</v>
      </c>
      <c r="H25" s="684"/>
      <c r="I25" s="932">
        <v>0</v>
      </c>
      <c r="J25" s="685"/>
      <c r="K25" s="970"/>
      <c r="M25" s="678"/>
      <c r="N25" s="587"/>
    </row>
    <row r="26" spans="1:14" x14ac:dyDescent="0.25">
      <c r="A26" s="554">
        <v>23</v>
      </c>
      <c r="B26" s="554"/>
      <c r="C26" t="s">
        <v>201</v>
      </c>
      <c r="E26" s="686" t="s">
        <v>2000</v>
      </c>
      <c r="F26" s="686"/>
      <c r="G26" s="931" t="s">
        <v>2193</v>
      </c>
      <c r="H26" s="687"/>
      <c r="I26" s="931" t="s">
        <v>2193</v>
      </c>
      <c r="J26" s="687"/>
      <c r="K26" s="53"/>
      <c r="M26" s="678"/>
    </row>
    <row r="27" spans="1:14" ht="13.8" thickBot="1" x14ac:dyDescent="0.3">
      <c r="A27" s="554">
        <v>24</v>
      </c>
      <c r="B27" s="554"/>
      <c r="C27" t="s">
        <v>2001</v>
      </c>
      <c r="E27" s="459" t="s">
        <v>2222</v>
      </c>
      <c r="F27" s="45"/>
      <c r="G27" s="958">
        <v>0</v>
      </c>
      <c r="H27" s="688"/>
      <c r="I27" s="958">
        <v>0</v>
      </c>
      <c r="J27" s="688"/>
      <c r="K27" s="958">
        <v>0</v>
      </c>
      <c r="M27" s="678"/>
    </row>
    <row r="28" spans="1:14" ht="13.8" thickTop="1" x14ac:dyDescent="0.25">
      <c r="A28" s="554">
        <v>25</v>
      </c>
      <c r="B28" s="554"/>
      <c r="H28" s="505"/>
      <c r="J28" s="505"/>
      <c r="M28" s="678"/>
    </row>
    <row r="29" spans="1:14" x14ac:dyDescent="0.25">
      <c r="A29" s="554">
        <v>26</v>
      </c>
      <c r="B29" s="554"/>
      <c r="C29" s="44" t="s">
        <v>2002</v>
      </c>
      <c r="D29" s="44"/>
      <c r="E29" s="44"/>
      <c r="F29" s="44"/>
      <c r="H29" s="505"/>
      <c r="J29" s="505"/>
      <c r="M29" s="689" t="s">
        <v>331</v>
      </c>
    </row>
    <row r="30" spans="1:14" x14ac:dyDescent="0.25">
      <c r="A30" s="554">
        <v>27</v>
      </c>
      <c r="B30" s="554"/>
      <c r="C30" s="443" t="s">
        <v>2003</v>
      </c>
      <c r="D30" s="443"/>
      <c r="E30" s="560" t="s">
        <v>1999</v>
      </c>
      <c r="F30" s="560"/>
      <c r="G30" s="932">
        <v>0</v>
      </c>
      <c r="H30" s="684"/>
      <c r="I30" s="932">
        <v>0</v>
      </c>
      <c r="J30" s="685"/>
      <c r="M30" s="678"/>
    </row>
    <row r="31" spans="1:14" x14ac:dyDescent="0.25">
      <c r="A31" s="554">
        <v>28</v>
      </c>
      <c r="B31" s="554"/>
      <c r="C31" t="s">
        <v>201</v>
      </c>
      <c r="E31" s="686" t="s">
        <v>2000</v>
      </c>
      <c r="F31" s="686"/>
      <c r="G31" s="931" t="s">
        <v>2193</v>
      </c>
      <c r="H31" s="687"/>
      <c r="I31" s="931" t="s">
        <v>2193</v>
      </c>
      <c r="J31" s="687"/>
      <c r="M31" s="678"/>
    </row>
    <row r="32" spans="1:14" ht="13.8" thickBot="1" x14ac:dyDescent="0.3">
      <c r="A32" s="554">
        <v>29</v>
      </c>
      <c r="B32" s="554"/>
      <c r="C32" t="s">
        <v>2001</v>
      </c>
      <c r="E32" s="459" t="s">
        <v>2223</v>
      </c>
      <c r="F32" s="45"/>
      <c r="G32" s="958">
        <v>0</v>
      </c>
      <c r="H32" s="688"/>
      <c r="I32" s="958">
        <v>0</v>
      </c>
      <c r="J32" s="688"/>
      <c r="K32" s="958">
        <v>0</v>
      </c>
      <c r="M32" s="678"/>
    </row>
    <row r="33" spans="1:11" ht="13.8" thickTop="1" x14ac:dyDescent="0.25">
      <c r="A33" s="554">
        <v>30</v>
      </c>
      <c r="H33" s="505"/>
      <c r="J33" s="505"/>
    </row>
    <row r="34" spans="1:11" x14ac:dyDescent="0.25">
      <c r="A34" s="554">
        <v>31</v>
      </c>
      <c r="C34" s="44" t="s">
        <v>2004</v>
      </c>
      <c r="H34" s="505"/>
      <c r="J34" s="505"/>
    </row>
    <row r="35" spans="1:11" x14ac:dyDescent="0.25">
      <c r="A35" s="554">
        <v>32</v>
      </c>
      <c r="C35" s="443" t="s">
        <v>2004</v>
      </c>
      <c r="E35" s="560" t="s">
        <v>1999</v>
      </c>
      <c r="F35" s="560"/>
      <c r="G35" s="932">
        <v>0</v>
      </c>
      <c r="H35" s="690"/>
      <c r="I35" s="932">
        <v>0</v>
      </c>
      <c r="J35" s="685"/>
    </row>
    <row r="36" spans="1:11" x14ac:dyDescent="0.25">
      <c r="A36" s="554">
        <v>33</v>
      </c>
      <c r="C36" s="443" t="s">
        <v>2005</v>
      </c>
      <c r="E36" s="691" t="s">
        <v>2006</v>
      </c>
      <c r="G36" s="692">
        <v>0.5</v>
      </c>
      <c r="H36" s="505"/>
      <c r="I36" s="692">
        <v>0.5</v>
      </c>
      <c r="J36" s="505"/>
    </row>
    <row r="37" spans="1:11" x14ac:dyDescent="0.25">
      <c r="A37" s="554">
        <v>34</v>
      </c>
      <c r="C37" s="443" t="s">
        <v>2007</v>
      </c>
      <c r="E37" s="459" t="s">
        <v>2224</v>
      </c>
      <c r="G37" s="940">
        <v>0</v>
      </c>
      <c r="H37" s="693"/>
      <c r="I37" s="940">
        <v>0</v>
      </c>
      <c r="J37" s="505"/>
    </row>
    <row r="38" spans="1:11" x14ac:dyDescent="0.25">
      <c r="A38" s="554">
        <v>35</v>
      </c>
      <c r="C38" t="s">
        <v>201</v>
      </c>
      <c r="E38" s="686" t="s">
        <v>2000</v>
      </c>
      <c r="F38" s="686"/>
      <c r="G38" s="931" t="s">
        <v>2193</v>
      </c>
      <c r="H38" s="687"/>
      <c r="I38" s="931" t="s">
        <v>2193</v>
      </c>
      <c r="J38" s="687"/>
    </row>
    <row r="39" spans="1:11" ht="13.8" thickBot="1" x14ac:dyDescent="0.3">
      <c r="A39" s="554">
        <v>36</v>
      </c>
      <c r="C39" t="s">
        <v>2001</v>
      </c>
      <c r="E39" s="459" t="s">
        <v>2225</v>
      </c>
      <c r="F39" s="45"/>
      <c r="G39" s="958">
        <v>0</v>
      </c>
      <c r="H39" s="688"/>
      <c r="I39" s="958">
        <v>0</v>
      </c>
      <c r="J39" s="688"/>
      <c r="K39" s="958">
        <v>0</v>
      </c>
    </row>
    <row r="40" spans="1:11" ht="13.8" thickTop="1" x14ac:dyDescent="0.25">
      <c r="H40" s="505"/>
      <c r="J40" s="505"/>
    </row>
    <row r="41" spans="1:11" x14ac:dyDescent="0.25">
      <c r="H41" s="53"/>
      <c r="J41" s="53"/>
    </row>
    <row r="42" spans="1:11" x14ac:dyDescent="0.25">
      <c r="H42" s="53"/>
      <c r="J42" s="53"/>
    </row>
    <row r="43" spans="1:11" x14ac:dyDescent="0.25">
      <c r="H43" s="53"/>
      <c r="J43" s="53"/>
    </row>
    <row r="44" spans="1:11" x14ac:dyDescent="0.25">
      <c r="H44" s="53"/>
      <c r="J44" s="53"/>
    </row>
    <row r="45" spans="1:11" x14ac:dyDescent="0.25">
      <c r="H45" s="53"/>
      <c r="J45" s="53"/>
    </row>
    <row r="46" spans="1:11" x14ac:dyDescent="0.25">
      <c r="H46" s="53"/>
      <c r="J46" s="53"/>
    </row>
    <row r="47" spans="1:11" x14ac:dyDescent="0.25">
      <c r="H47" s="53"/>
      <c r="J47" s="53"/>
    </row>
    <row r="48" spans="1:11" x14ac:dyDescent="0.25">
      <c r="H48" s="53"/>
      <c r="J48" s="53"/>
    </row>
    <row r="49" spans="8:10" x14ac:dyDescent="0.25">
      <c r="H49" s="53"/>
      <c r="J49" s="53"/>
    </row>
    <row r="50" spans="8:10" x14ac:dyDescent="0.25">
      <c r="H50" s="53"/>
      <c r="J50" s="53"/>
    </row>
    <row r="51" spans="8:10" x14ac:dyDescent="0.25">
      <c r="H51" s="53"/>
      <c r="J51" s="53"/>
    </row>
    <row r="52" spans="8:10" x14ac:dyDescent="0.25">
      <c r="H52" s="53"/>
      <c r="J52" s="53"/>
    </row>
    <row r="53" spans="8:10" x14ac:dyDescent="0.25">
      <c r="H53" s="53"/>
      <c r="J53" s="53"/>
    </row>
    <row r="54" spans="8:10" x14ac:dyDescent="0.25">
      <c r="H54" s="53"/>
      <c r="J54" s="53"/>
    </row>
    <row r="55" spans="8:10" x14ac:dyDescent="0.25">
      <c r="H55" s="53"/>
    </row>
    <row r="56" spans="8:10" x14ac:dyDescent="0.25">
      <c r="H56" s="53"/>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1071</v>
      </c>
    </row>
    <row r="2" spans="1:6" x14ac:dyDescent="0.25">
      <c r="A2" s="1"/>
    </row>
    <row r="3" spans="1:6" x14ac:dyDescent="0.25">
      <c r="B3" s="11" t="s">
        <v>410</v>
      </c>
    </row>
    <row r="4" spans="1:6" x14ac:dyDescent="0.25">
      <c r="A4" s="1"/>
      <c r="B4" s="12" t="s">
        <v>343</v>
      </c>
    </row>
    <row r="5" spans="1:6" x14ac:dyDescent="0.25">
      <c r="A5" s="1"/>
      <c r="B5" s="12" t="s">
        <v>344</v>
      </c>
    </row>
    <row r="7" spans="1:6" x14ac:dyDescent="0.25">
      <c r="B7" s="1" t="s">
        <v>1001</v>
      </c>
    </row>
    <row r="8" spans="1:6" x14ac:dyDescent="0.25">
      <c r="E8" s="15"/>
    </row>
    <row r="9" spans="1:6" x14ac:dyDescent="0.25">
      <c r="A9" s="44" t="s">
        <v>332</v>
      </c>
      <c r="B9" s="63" t="s">
        <v>1070</v>
      </c>
    </row>
    <row r="10" spans="1:6" x14ac:dyDescent="0.25">
      <c r="A10" s="2">
        <v>1</v>
      </c>
    </row>
    <row r="11" spans="1:6" x14ac:dyDescent="0.25">
      <c r="A11" s="2">
        <f>A10+1</f>
        <v>2</v>
      </c>
      <c r="B11" s="333" t="s">
        <v>1440</v>
      </c>
      <c r="C11" s="13"/>
      <c r="D11" s="13"/>
      <c r="E11" s="13"/>
      <c r="F11" s="13"/>
    </row>
    <row r="12" spans="1:6" x14ac:dyDescent="0.25">
      <c r="A12" s="2">
        <f t="shared" ref="A12:A87" si="0">A11+1</f>
        <v>3</v>
      </c>
      <c r="B12" s="333" t="s">
        <v>1047</v>
      </c>
      <c r="C12" s="13"/>
      <c r="D12" s="13"/>
      <c r="E12" s="13"/>
      <c r="F12" s="13"/>
    </row>
    <row r="13" spans="1:6" x14ac:dyDescent="0.25">
      <c r="A13" s="2">
        <f t="shared" si="0"/>
        <v>4</v>
      </c>
      <c r="B13" s="333"/>
      <c r="C13" s="13"/>
      <c r="D13" s="13"/>
      <c r="E13" s="13"/>
      <c r="F13" s="13"/>
    </row>
    <row r="14" spans="1:6" x14ac:dyDescent="0.25">
      <c r="A14" s="2">
        <f t="shared" si="0"/>
        <v>5</v>
      </c>
      <c r="B14" s="880" t="s">
        <v>2213</v>
      </c>
      <c r="C14" s="13"/>
      <c r="D14" s="13"/>
      <c r="E14" s="13"/>
      <c r="F14" s="13"/>
    </row>
    <row r="15" spans="1:6" x14ac:dyDescent="0.25">
      <c r="A15" s="2">
        <f t="shared" si="0"/>
        <v>6</v>
      </c>
      <c r="B15" s="334"/>
      <c r="C15" s="13"/>
      <c r="D15" s="13"/>
      <c r="E15" s="13"/>
      <c r="F15" s="13"/>
    </row>
    <row r="16" spans="1:6" x14ac:dyDescent="0.25">
      <c r="A16" s="2">
        <f t="shared" si="0"/>
        <v>7</v>
      </c>
      <c r="B16" s="333" t="s">
        <v>368</v>
      </c>
      <c r="C16" s="13"/>
      <c r="D16" s="13"/>
      <c r="E16" s="13"/>
      <c r="F16" s="331"/>
    </row>
    <row r="17" spans="1:7" x14ac:dyDescent="0.25">
      <c r="A17" s="2">
        <f t="shared" si="0"/>
        <v>8</v>
      </c>
      <c r="B17" s="335" t="s">
        <v>1043</v>
      </c>
      <c r="C17" s="13"/>
      <c r="D17" s="13"/>
      <c r="E17" s="13"/>
      <c r="F17" s="60"/>
    </row>
    <row r="18" spans="1:7" x14ac:dyDescent="0.25">
      <c r="A18" s="2">
        <f t="shared" si="0"/>
        <v>9</v>
      </c>
      <c r="B18" s="335" t="s">
        <v>1044</v>
      </c>
      <c r="C18" s="13"/>
      <c r="D18" s="13"/>
      <c r="E18" s="13"/>
      <c r="F18" s="60"/>
    </row>
    <row r="19" spans="1:7" x14ac:dyDescent="0.25">
      <c r="A19" s="2">
        <f t="shared" si="0"/>
        <v>10</v>
      </c>
      <c r="B19" s="335" t="s">
        <v>219</v>
      </c>
      <c r="C19" s="13"/>
      <c r="D19" s="13"/>
      <c r="E19" s="323"/>
      <c r="F19" s="56"/>
    </row>
    <row r="20" spans="1:7" x14ac:dyDescent="0.25">
      <c r="A20" s="2">
        <f t="shared" si="0"/>
        <v>11</v>
      </c>
      <c r="B20" s="38"/>
      <c r="C20" s="13"/>
      <c r="D20" s="323"/>
      <c r="E20" s="104" t="s">
        <v>206</v>
      </c>
      <c r="F20" s="13"/>
    </row>
    <row r="21" spans="1:7" x14ac:dyDescent="0.25">
      <c r="A21" s="2">
        <f t="shared" si="0"/>
        <v>12</v>
      </c>
      <c r="C21" s="323" t="s">
        <v>1080</v>
      </c>
      <c r="D21" s="926" t="s">
        <v>2193</v>
      </c>
      <c r="E21" s="40" t="str">
        <f>"1-BaseTRR, Line "&amp;'1-BaseTRR'!A88&amp;""</f>
        <v>1-BaseTRR, Line 51</v>
      </c>
      <c r="F21" s="13"/>
      <c r="G21" s="13"/>
    </row>
    <row r="22" spans="1:7" x14ac:dyDescent="0.25">
      <c r="A22" s="2">
        <f t="shared" si="0"/>
        <v>13</v>
      </c>
      <c r="C22" s="323" t="s">
        <v>1081</v>
      </c>
      <c r="D22" s="926" t="s">
        <v>2193</v>
      </c>
      <c r="E22" s="40" t="str">
        <f>"1-BaseTRR, Line "&amp;'1-BaseTRR'!A93&amp;""</f>
        <v>1-BaseTRR, Line 55</v>
      </c>
      <c r="F22" s="13"/>
      <c r="G22" s="13"/>
    </row>
    <row r="23" spans="1:7" x14ac:dyDescent="0.25">
      <c r="A23" s="2">
        <f t="shared" si="0"/>
        <v>14</v>
      </c>
      <c r="C23" s="323" t="s">
        <v>1046</v>
      </c>
      <c r="D23" s="926" t="s">
        <v>2193</v>
      </c>
      <c r="E23" s="40" t="str">
        <f>"1-BaseTRR, Line "&amp;'1-BaseTRR'!A102&amp;""</f>
        <v>1-BaseTRR, Line 59</v>
      </c>
      <c r="F23" s="13"/>
      <c r="G23" s="13"/>
    </row>
    <row r="24" spans="1:7" x14ac:dyDescent="0.25">
      <c r="A24" s="2">
        <f t="shared" si="0"/>
        <v>15</v>
      </c>
      <c r="B24" s="14"/>
      <c r="C24" s="13"/>
      <c r="D24" s="332"/>
      <c r="E24" s="40"/>
      <c r="F24" s="13"/>
      <c r="G24" s="13"/>
    </row>
    <row r="25" spans="1:7" x14ac:dyDescent="0.25">
      <c r="A25" s="2">
        <f t="shared" si="0"/>
        <v>16</v>
      </c>
      <c r="C25" s="323" t="s">
        <v>1045</v>
      </c>
      <c r="D25" s="926" t="s">
        <v>2193</v>
      </c>
      <c r="E25" s="40" t="str">
        <f>"Line "&amp;A21&amp;" + (Line "&amp;A22&amp;" * (1/(1 - Line "&amp;A23&amp;")))"</f>
        <v>Line 12 + (Line 13 * (1/(1 - Line 14)))</v>
      </c>
      <c r="F25" s="13"/>
      <c r="G25" s="13"/>
    </row>
    <row r="26" spans="1:7" x14ac:dyDescent="0.25">
      <c r="A26" s="2">
        <f t="shared" si="0"/>
        <v>17</v>
      </c>
      <c r="B26" s="14"/>
      <c r="C26" s="13"/>
      <c r="D26" s="323"/>
      <c r="E26" s="40"/>
      <c r="F26" s="13"/>
      <c r="G26" s="13"/>
    </row>
    <row r="27" spans="1:7" x14ac:dyDescent="0.25">
      <c r="A27" s="2">
        <f t="shared" si="0"/>
        <v>18</v>
      </c>
      <c r="B27" s="63" t="s">
        <v>999</v>
      </c>
      <c r="C27" s="13"/>
      <c r="D27" s="323"/>
      <c r="E27" s="40"/>
      <c r="F27" s="13"/>
      <c r="G27" s="13"/>
    </row>
    <row r="28" spans="1:7" x14ac:dyDescent="0.25">
      <c r="A28" s="2">
        <f t="shared" si="0"/>
        <v>19</v>
      </c>
      <c r="B28" s="14"/>
      <c r="C28" s="13"/>
      <c r="D28" s="323"/>
      <c r="E28" s="40"/>
      <c r="F28" s="13"/>
      <c r="G28" s="13"/>
    </row>
    <row r="29" spans="1:7" x14ac:dyDescent="0.25">
      <c r="A29" s="2">
        <f t="shared" si="0"/>
        <v>20</v>
      </c>
      <c r="B29" s="333" t="s">
        <v>1082</v>
      </c>
      <c r="C29" s="13"/>
      <c r="D29" s="323"/>
      <c r="E29" s="40"/>
      <c r="F29" s="13"/>
      <c r="G29" s="13"/>
    </row>
    <row r="30" spans="1:7" x14ac:dyDescent="0.25">
      <c r="A30" s="2">
        <f t="shared" si="0"/>
        <v>21</v>
      </c>
      <c r="B30" s="333" t="s">
        <v>1083</v>
      </c>
      <c r="C30" s="13"/>
      <c r="D30" s="323"/>
      <c r="E30" s="40"/>
      <c r="F30" s="13"/>
      <c r="G30" s="13"/>
    </row>
    <row r="31" spans="1:7" x14ac:dyDescent="0.25">
      <c r="A31" s="2">
        <f t="shared" si="0"/>
        <v>22</v>
      </c>
      <c r="C31" s="13"/>
      <c r="D31" s="323"/>
      <c r="E31" s="40"/>
      <c r="F31" s="13"/>
      <c r="G31" s="13"/>
    </row>
    <row r="32" spans="1:7" x14ac:dyDescent="0.25">
      <c r="A32" s="2">
        <f t="shared" si="0"/>
        <v>23</v>
      </c>
      <c r="B32" s="335" t="s">
        <v>1048</v>
      </c>
      <c r="C32" s="13"/>
      <c r="D32" s="323"/>
      <c r="E32" s="40"/>
      <c r="F32" s="13"/>
      <c r="G32" s="13"/>
    </row>
    <row r="33" spans="1:11" x14ac:dyDescent="0.25">
      <c r="A33" s="2">
        <f t="shared" si="0"/>
        <v>24</v>
      </c>
      <c r="E33" s="13"/>
      <c r="F33" s="13"/>
      <c r="G33" s="13"/>
    </row>
    <row r="34" spans="1:11" x14ac:dyDescent="0.25">
      <c r="A34" s="2">
        <f t="shared" si="0"/>
        <v>25</v>
      </c>
      <c r="B34" s="63" t="s">
        <v>1069</v>
      </c>
      <c r="E34" s="13"/>
      <c r="F34" s="13"/>
      <c r="G34" s="13"/>
    </row>
    <row r="35" spans="1:11" x14ac:dyDescent="0.25">
      <c r="A35" s="2">
        <f t="shared" si="0"/>
        <v>26</v>
      </c>
      <c r="B35" s="11"/>
      <c r="E35" s="104" t="s">
        <v>206</v>
      </c>
      <c r="F35" s="13"/>
      <c r="G35" s="13"/>
    </row>
    <row r="36" spans="1:11" x14ac:dyDescent="0.25">
      <c r="A36" s="2">
        <f t="shared" si="0"/>
        <v>27</v>
      </c>
      <c r="C36" s="83" t="s">
        <v>1054</v>
      </c>
      <c r="D36" s="924">
        <v>0</v>
      </c>
      <c r="E36" s="40" t="str">
        <f>"6-PlantInService, Line "&amp;'6-PlantInService'!A23&amp;""</f>
        <v>6-PlantInService, Line 13</v>
      </c>
      <c r="F36" s="13"/>
      <c r="G36" s="13"/>
    </row>
    <row r="37" spans="1:11" x14ac:dyDescent="0.25">
      <c r="A37" s="2">
        <f t="shared" si="0"/>
        <v>28</v>
      </c>
      <c r="C37" s="83" t="s">
        <v>1055</v>
      </c>
      <c r="D37" s="924">
        <v>0</v>
      </c>
      <c r="E37" s="40" t="str">
        <f>"6-PlantInService, Line "&amp;'6-PlantInService'!A35&amp;""</f>
        <v>6-PlantInService, Line 16</v>
      </c>
      <c r="F37" s="13"/>
      <c r="G37" s="13"/>
    </row>
    <row r="38" spans="1:11" x14ac:dyDescent="0.25">
      <c r="A38" s="2">
        <f t="shared" si="0"/>
        <v>29</v>
      </c>
      <c r="C38" s="83" t="s">
        <v>1067</v>
      </c>
      <c r="D38" s="924">
        <v>0</v>
      </c>
      <c r="E38" s="40" t="str">
        <f>"8-AccDep, Line "&amp;'8-AccDep'!A24&amp;""</f>
        <v>8-AccDep, Line 13</v>
      </c>
      <c r="F38" s="13"/>
      <c r="G38" s="13"/>
    </row>
    <row r="39" spans="1:11" ht="15" x14ac:dyDescent="0.4">
      <c r="A39" s="2">
        <f t="shared" si="0"/>
        <v>30</v>
      </c>
      <c r="C39" s="83" t="s">
        <v>1068</v>
      </c>
      <c r="D39" s="925">
        <v>0</v>
      </c>
      <c r="E39" s="40" t="str">
        <f>"8-AccDep, Line "&amp;'8-AccDep'!A34&amp;""</f>
        <v>8-AccDep, Line 16</v>
      </c>
      <c r="F39" s="13"/>
      <c r="G39" s="13"/>
    </row>
    <row r="40" spans="1:11" x14ac:dyDescent="0.25">
      <c r="A40" s="2">
        <f t="shared" si="0"/>
        <v>31</v>
      </c>
      <c r="C40" s="83" t="s">
        <v>1000</v>
      </c>
      <c r="D40" s="924">
        <v>0</v>
      </c>
      <c r="E40" s="40" t="str">
        <f>"(L"&amp;A36&amp;" + L"&amp;A37&amp;") - (L"&amp;A38&amp;" + L"&amp;A39&amp;")"</f>
        <v>(L27 + L28) - (L29 + L30)</v>
      </c>
      <c r="F40" s="13"/>
      <c r="G40" s="13"/>
    </row>
    <row r="41" spans="1:11" x14ac:dyDescent="0.25">
      <c r="A41" s="2">
        <f t="shared" si="0"/>
        <v>32</v>
      </c>
      <c r="C41" s="83"/>
      <c r="D41" s="6"/>
      <c r="E41" s="40"/>
      <c r="F41" s="13"/>
      <c r="G41" s="13"/>
    </row>
    <row r="42" spans="1:11" x14ac:dyDescent="0.25">
      <c r="A42" s="2">
        <f t="shared" si="0"/>
        <v>33</v>
      </c>
      <c r="B42" s="63" t="s">
        <v>1421</v>
      </c>
      <c r="E42" s="13"/>
      <c r="F42" s="13"/>
      <c r="G42" s="13"/>
    </row>
    <row r="43" spans="1:11" x14ac:dyDescent="0.25">
      <c r="A43" s="433">
        <f t="shared" si="0"/>
        <v>34</v>
      </c>
      <c r="B43" s="63"/>
      <c r="E43" s="13"/>
      <c r="F43" s="13"/>
      <c r="G43" s="13"/>
    </row>
    <row r="44" spans="1:11" x14ac:dyDescent="0.25">
      <c r="A44" s="433">
        <f t="shared" si="0"/>
        <v>35</v>
      </c>
      <c r="B44" s="63" t="s">
        <v>1422</v>
      </c>
      <c r="E44" s="13"/>
      <c r="F44" s="13"/>
      <c r="G44" s="13"/>
    </row>
    <row r="45" spans="1:11" x14ac:dyDescent="0.25">
      <c r="A45" s="433">
        <f t="shared" si="0"/>
        <v>36</v>
      </c>
      <c r="B45" s="48" t="s">
        <v>1423</v>
      </c>
      <c r="E45" s="13"/>
      <c r="F45" s="13"/>
      <c r="G45" s="13"/>
    </row>
    <row r="46" spans="1:11" x14ac:dyDescent="0.25">
      <c r="A46" s="433">
        <f t="shared" si="0"/>
        <v>37</v>
      </c>
      <c r="B46" s="63"/>
      <c r="C46" s="83" t="s">
        <v>1441</v>
      </c>
      <c r="D46" s="924">
        <v>0</v>
      </c>
      <c r="E46" s="40" t="str">
        <f>"10-CWIP, L "&amp;'10-CWIP'!A25&amp;" C1"</f>
        <v>10-CWIP, L 13 C1</v>
      </c>
      <c r="F46" s="13"/>
      <c r="G46" s="13"/>
      <c r="K46" s="6"/>
    </row>
    <row r="47" spans="1:11" x14ac:dyDescent="0.25">
      <c r="A47" s="433">
        <f t="shared" si="0"/>
        <v>38</v>
      </c>
      <c r="B47" s="63"/>
      <c r="C47" s="83" t="s">
        <v>356</v>
      </c>
      <c r="D47" s="926" t="s">
        <v>2193</v>
      </c>
      <c r="E47" s="40" t="str">
        <f>"Line "&amp;A25&amp;""</f>
        <v>Line 16</v>
      </c>
      <c r="F47" s="13"/>
      <c r="G47" s="13"/>
      <c r="K47" s="6"/>
    </row>
    <row r="48" spans="1:11" x14ac:dyDescent="0.25">
      <c r="A48" s="433">
        <f t="shared" si="0"/>
        <v>39</v>
      </c>
      <c r="B48" s="63"/>
      <c r="C48" s="83" t="s">
        <v>1416</v>
      </c>
      <c r="D48" s="924">
        <v>0</v>
      </c>
      <c r="E48" s="40" t="str">
        <f>"Line "&amp;A46&amp;" * Line "&amp;A47&amp;""</f>
        <v>Line 37 * Line 38</v>
      </c>
      <c r="F48" s="13"/>
      <c r="G48" s="13"/>
      <c r="K48" s="6"/>
    </row>
    <row r="49" spans="1:11" x14ac:dyDescent="0.25">
      <c r="A49" s="433">
        <f t="shared" si="0"/>
        <v>40</v>
      </c>
      <c r="B49" s="63"/>
      <c r="C49" s="83"/>
      <c r="D49" s="89"/>
      <c r="E49" s="40"/>
      <c r="F49" s="13"/>
      <c r="G49" s="13"/>
      <c r="K49" s="6"/>
    </row>
    <row r="50" spans="1:11" x14ac:dyDescent="0.25">
      <c r="A50" s="433">
        <f t="shared" si="0"/>
        <v>41</v>
      </c>
      <c r="B50" s="48" t="s">
        <v>1424</v>
      </c>
      <c r="E50" s="13"/>
      <c r="F50" s="13"/>
      <c r="G50" s="13"/>
      <c r="K50" s="6"/>
    </row>
    <row r="51" spans="1:11" x14ac:dyDescent="0.25">
      <c r="A51" s="433">
        <f t="shared" si="0"/>
        <v>42</v>
      </c>
      <c r="B51" s="63"/>
      <c r="C51" s="83" t="s">
        <v>1430</v>
      </c>
      <c r="D51" s="924">
        <v>0</v>
      </c>
      <c r="E51" s="96" t="str">
        <f>"15-IncentiveAdder, Line "&amp;'15-IncentiveAdder'!A17&amp;""</f>
        <v>15-IncentiveAdder, Line 3</v>
      </c>
      <c r="F51" s="13"/>
      <c r="G51" s="13"/>
      <c r="K51" s="6"/>
    </row>
    <row r="52" spans="1:11" x14ac:dyDescent="0.25">
      <c r="A52" s="433">
        <f t="shared" si="0"/>
        <v>43</v>
      </c>
      <c r="B52" s="63"/>
      <c r="C52" s="83"/>
      <c r="E52" s="13"/>
      <c r="F52" s="13"/>
      <c r="G52" s="13"/>
      <c r="K52" s="6"/>
    </row>
    <row r="53" spans="1:11" x14ac:dyDescent="0.25">
      <c r="A53" s="433">
        <f t="shared" si="0"/>
        <v>44</v>
      </c>
      <c r="B53" s="63"/>
      <c r="C53" s="83" t="s">
        <v>1403</v>
      </c>
      <c r="D53" s="924">
        <v>0</v>
      </c>
      <c r="E53" s="40" t="str">
        <f>"10-CWIP, Line "&amp;'10-CWIP'!A25&amp;""</f>
        <v>10-CWIP, Line 13</v>
      </c>
      <c r="F53" s="14"/>
      <c r="G53" s="13"/>
      <c r="K53" s="6"/>
    </row>
    <row r="54" spans="1:11" x14ac:dyDescent="0.25">
      <c r="A54" s="433">
        <f t="shared" si="0"/>
        <v>45</v>
      </c>
      <c r="B54" s="63"/>
      <c r="C54" s="83" t="s">
        <v>1427</v>
      </c>
      <c r="D54" s="926" t="s">
        <v>2193</v>
      </c>
      <c r="E54" s="96" t="str">
        <f>"15-IncentiveAdder, Line "&amp;'15-IncentiveAdder'!A26&amp;""</f>
        <v>15-IncentiveAdder, Line 5</v>
      </c>
      <c r="F54" s="14"/>
      <c r="G54" s="13"/>
      <c r="K54" s="6"/>
    </row>
    <row r="55" spans="1:11" x14ac:dyDescent="0.25">
      <c r="A55" s="433">
        <f t="shared" si="0"/>
        <v>46</v>
      </c>
      <c r="B55" s="63"/>
      <c r="C55" s="83" t="s">
        <v>1426</v>
      </c>
      <c r="D55" s="924">
        <v>0</v>
      </c>
      <c r="E55" s="442" t="str">
        <f>"Formula on Line "&amp;A61&amp;""</f>
        <v>Formula on Line 52</v>
      </c>
      <c r="F55" s="13"/>
      <c r="G55" s="13"/>
      <c r="K55" s="6"/>
    </row>
    <row r="56" spans="1:11" x14ac:dyDescent="0.25">
      <c r="A56" s="433">
        <f t="shared" si="0"/>
        <v>47</v>
      </c>
      <c r="B56" s="63"/>
      <c r="C56" s="83"/>
      <c r="E56" s="56"/>
      <c r="F56" s="13"/>
      <c r="G56" s="13"/>
      <c r="K56" s="6"/>
    </row>
    <row r="57" spans="1:11" x14ac:dyDescent="0.25">
      <c r="A57" s="433">
        <f t="shared" si="0"/>
        <v>48</v>
      </c>
      <c r="C57" s="83" t="s">
        <v>1425</v>
      </c>
      <c r="D57" s="924">
        <v>0</v>
      </c>
      <c r="E57" s="40" t="str">
        <f>"10-CWIP, Line "&amp;'10-CWIP'!A25&amp;""</f>
        <v>10-CWIP, Line 13</v>
      </c>
      <c r="F57" s="13"/>
      <c r="G57" s="13"/>
      <c r="K57" s="6"/>
    </row>
    <row r="58" spans="1:11" x14ac:dyDescent="0.25">
      <c r="A58" s="433">
        <f t="shared" si="0"/>
        <v>49</v>
      </c>
      <c r="C58" s="83" t="s">
        <v>1428</v>
      </c>
      <c r="D58" s="926" t="s">
        <v>2193</v>
      </c>
      <c r="E58" s="96" t="str">
        <f>"15-IncentiveAdder, Line "&amp;'15-IncentiveAdder'!A27&amp;""</f>
        <v>15-IncentiveAdder, Line 6</v>
      </c>
      <c r="F58" s="13"/>
      <c r="G58" s="13"/>
      <c r="K58" s="6"/>
    </row>
    <row r="59" spans="1:11" x14ac:dyDescent="0.25">
      <c r="A59" s="433">
        <f t="shared" si="0"/>
        <v>50</v>
      </c>
      <c r="C59" s="83" t="s">
        <v>1429</v>
      </c>
      <c r="D59" s="924">
        <v>0</v>
      </c>
      <c r="E59" s="40" t="str">
        <f>"Formula on Line "&amp;A61&amp;""</f>
        <v>Formula on Line 52</v>
      </c>
      <c r="F59" s="13"/>
      <c r="G59" s="13"/>
      <c r="K59" s="6"/>
    </row>
    <row r="60" spans="1:11" x14ac:dyDescent="0.25">
      <c r="A60" s="433">
        <f t="shared" si="0"/>
        <v>51</v>
      </c>
      <c r="C60" s="83"/>
      <c r="D60" s="6"/>
      <c r="E60" s="40"/>
      <c r="F60" s="13"/>
      <c r="G60" s="13"/>
      <c r="K60" s="6"/>
    </row>
    <row r="61" spans="1:11" x14ac:dyDescent="0.25">
      <c r="A61" s="433">
        <f t="shared" si="0"/>
        <v>52</v>
      </c>
      <c r="C61" s="43" t="s">
        <v>1405</v>
      </c>
      <c r="D61" s="6"/>
      <c r="E61" s="40"/>
      <c r="F61" s="13"/>
      <c r="G61" s="13"/>
      <c r="K61" s="6"/>
    </row>
    <row r="62" spans="1:11" x14ac:dyDescent="0.25">
      <c r="A62" s="433">
        <f t="shared" si="0"/>
        <v>53</v>
      </c>
      <c r="E62" s="13"/>
      <c r="F62" s="13"/>
      <c r="G62" s="13"/>
      <c r="K62" s="6"/>
    </row>
    <row r="63" spans="1:11" x14ac:dyDescent="0.25">
      <c r="A63" s="433">
        <f t="shared" si="0"/>
        <v>54</v>
      </c>
      <c r="C63" s="441" t="s">
        <v>1460</v>
      </c>
      <c r="D63" s="924">
        <v>0</v>
      </c>
      <c r="E63" s="40" t="str">
        <f>"Line "&amp;A48&amp;" + Line "&amp;A55&amp;" + Line "&amp;A59&amp;""</f>
        <v>Line 39 + Line 46 + Line 50</v>
      </c>
      <c r="F63" s="13"/>
      <c r="G63" s="13"/>
      <c r="K63" s="6"/>
    </row>
    <row r="64" spans="1:11" ht="15" x14ac:dyDescent="0.4">
      <c r="A64" s="440">
        <f t="shared" si="0"/>
        <v>55</v>
      </c>
      <c r="C64" s="441" t="s">
        <v>1459</v>
      </c>
      <c r="D64" s="925">
        <v>0</v>
      </c>
      <c r="E64" s="442" t="str">
        <f>"(28-FFU, L"&amp;'28-FFU'!A22&amp;" FF Factor + U Factor) * L"&amp;A63&amp;""</f>
        <v>(28-FFU, L5 FF Factor + U Factor) * L54</v>
      </c>
      <c r="F64" s="13"/>
      <c r="G64" s="13"/>
      <c r="K64" s="6"/>
    </row>
    <row r="65" spans="1:11" x14ac:dyDescent="0.25">
      <c r="A65" s="440">
        <f t="shared" si="0"/>
        <v>56</v>
      </c>
      <c r="C65" s="441" t="s">
        <v>1461</v>
      </c>
      <c r="D65" s="924">
        <v>0</v>
      </c>
      <c r="E65" s="40" t="str">
        <f>"Line "&amp;A63&amp;" + Line "&amp;A64&amp;""</f>
        <v>Line 54 + Line 55</v>
      </c>
      <c r="F65" s="13"/>
      <c r="K65" s="6"/>
    </row>
    <row r="66" spans="1:11" x14ac:dyDescent="0.25">
      <c r="A66" s="440">
        <f t="shared" si="0"/>
        <v>57</v>
      </c>
      <c r="C66" s="83"/>
      <c r="D66" s="89"/>
      <c r="E66" s="40"/>
      <c r="F66" s="13"/>
      <c r="K66" s="6"/>
    </row>
    <row r="67" spans="1:11" x14ac:dyDescent="0.25">
      <c r="A67" s="440">
        <f t="shared" si="0"/>
        <v>58</v>
      </c>
      <c r="B67" s="63" t="s">
        <v>1431</v>
      </c>
      <c r="C67" s="83"/>
      <c r="D67" s="89"/>
      <c r="E67" s="40"/>
      <c r="F67" s="13"/>
      <c r="K67" s="6"/>
    </row>
    <row r="68" spans="1:11" x14ac:dyDescent="0.25">
      <c r="A68" s="440">
        <f t="shared" si="0"/>
        <v>59</v>
      </c>
      <c r="F68" s="13"/>
      <c r="K68" s="6"/>
    </row>
    <row r="69" spans="1:11" x14ac:dyDescent="0.25">
      <c r="A69" s="94">
        <f t="shared" si="0"/>
        <v>60</v>
      </c>
      <c r="B69" s="13"/>
      <c r="C69" s="858" t="s">
        <v>1460</v>
      </c>
      <c r="D69" s="924">
        <v>0</v>
      </c>
      <c r="E69" s="40" t="str">
        <f>"Line "&amp;A63&amp;""</f>
        <v>Line 54</v>
      </c>
      <c r="F69" s="13"/>
      <c r="K69" s="6"/>
    </row>
    <row r="70" spans="1:11" x14ac:dyDescent="0.25">
      <c r="A70" s="94">
        <f t="shared" si="0"/>
        <v>61</v>
      </c>
      <c r="B70" s="13"/>
      <c r="C70" s="858" t="s">
        <v>1726</v>
      </c>
      <c r="D70" s="924">
        <v>0</v>
      </c>
      <c r="E70" s="40" t="str">
        <f>"1-BaseTRR, Line "&amp;'1-BaseTRR'!A136&amp;""</f>
        <v>1-BaseTRR, Line 78</v>
      </c>
      <c r="F70" s="13"/>
      <c r="K70" s="6"/>
    </row>
    <row r="71" spans="1:11" x14ac:dyDescent="0.25">
      <c r="A71" s="94">
        <f t="shared" si="0"/>
        <v>62</v>
      </c>
      <c r="B71" s="13"/>
      <c r="C71" s="323" t="s">
        <v>1442</v>
      </c>
      <c r="D71" s="924">
        <v>0</v>
      </c>
      <c r="E71" s="40" t="str">
        <f>"Line "&amp;A70&amp;" - Line "&amp;A69&amp;""</f>
        <v>Line 61 - Line 60</v>
      </c>
      <c r="F71" s="13"/>
      <c r="K71" s="6"/>
    </row>
    <row r="72" spans="1:11" x14ac:dyDescent="0.25">
      <c r="A72" s="94">
        <f t="shared" si="0"/>
        <v>63</v>
      </c>
      <c r="B72" s="13"/>
      <c r="C72" s="883" t="s">
        <v>1843</v>
      </c>
      <c r="D72" s="924">
        <v>0</v>
      </c>
      <c r="E72" s="40" t="str">
        <f>"(1-BaseTRR, Line "&amp;'1-BaseTRR'!A124&amp;" + Line "&amp;'1-BaseTRR'!A125&amp;") * .75"</f>
        <v>(1-BaseTRR, Line 66 + Line 67) * .75</v>
      </c>
      <c r="F72" s="13"/>
      <c r="K72" s="6"/>
    </row>
    <row r="73" spans="1:11" x14ac:dyDescent="0.25">
      <c r="A73" s="94">
        <f t="shared" si="0"/>
        <v>64</v>
      </c>
      <c r="B73" s="13"/>
      <c r="C73" s="323" t="s">
        <v>274</v>
      </c>
      <c r="D73" s="926" t="s">
        <v>2193</v>
      </c>
      <c r="E73" s="40" t="str">
        <f>"(Line "&amp;A71&amp;" - Line "&amp;A72&amp;") / Line "&amp;A40&amp;""</f>
        <v>(Line 62 - Line 63) / Line 31</v>
      </c>
      <c r="F73" s="13"/>
      <c r="K73" s="6"/>
    </row>
    <row r="74" spans="1:11" x14ac:dyDescent="0.25">
      <c r="A74" s="94">
        <f t="shared" si="0"/>
        <v>65</v>
      </c>
      <c r="B74" s="13"/>
      <c r="C74" s="13"/>
      <c r="D74" s="56"/>
      <c r="E74" s="40"/>
      <c r="F74" s="13"/>
    </row>
    <row r="75" spans="1:11" x14ac:dyDescent="0.25">
      <c r="A75" s="94">
        <f t="shared" si="0"/>
        <v>66</v>
      </c>
      <c r="B75" s="38" t="s">
        <v>354</v>
      </c>
      <c r="C75" s="13"/>
      <c r="D75" s="13"/>
      <c r="E75" s="13"/>
      <c r="F75" s="13"/>
    </row>
    <row r="76" spans="1:11" x14ac:dyDescent="0.25">
      <c r="A76" s="94">
        <f t="shared" si="0"/>
        <v>67</v>
      </c>
      <c r="B76" s="13"/>
      <c r="C76" s="13"/>
      <c r="D76" s="13"/>
      <c r="E76" s="13"/>
      <c r="F76" s="13"/>
    </row>
    <row r="77" spans="1:11" x14ac:dyDescent="0.25">
      <c r="A77" s="94">
        <f t="shared" si="0"/>
        <v>68</v>
      </c>
      <c r="B77" s="13"/>
      <c r="C77" s="13"/>
      <c r="D77" s="13"/>
      <c r="E77" s="104" t="s">
        <v>206</v>
      </c>
      <c r="F77" s="13"/>
      <c r="I77" s="1"/>
    </row>
    <row r="78" spans="1:11" x14ac:dyDescent="0.25">
      <c r="A78" s="94">
        <f t="shared" si="0"/>
        <v>69</v>
      </c>
      <c r="B78" s="13"/>
      <c r="C78" s="323" t="s">
        <v>273</v>
      </c>
      <c r="D78" s="924">
        <v>0</v>
      </c>
      <c r="E78" s="40" t="str">
        <f>"16-PlantAdditions, L "&amp;'16-PlantAdditions'!A37&amp;", C10"</f>
        <v>16-PlantAdditions, L 25, C10</v>
      </c>
      <c r="F78" s="13"/>
      <c r="K78" s="6"/>
    </row>
    <row r="79" spans="1:11" x14ac:dyDescent="0.25">
      <c r="A79" s="94">
        <f t="shared" si="0"/>
        <v>70</v>
      </c>
      <c r="B79" s="13"/>
      <c r="C79" s="323" t="s">
        <v>274</v>
      </c>
      <c r="D79" s="926" t="s">
        <v>2193</v>
      </c>
      <c r="E79" s="40" t="str">
        <f>"Line "&amp;A73&amp;""</f>
        <v>Line 64</v>
      </c>
      <c r="F79" s="13"/>
      <c r="K79" s="669"/>
    </row>
    <row r="80" spans="1:11" x14ac:dyDescent="0.25">
      <c r="A80" s="94">
        <f t="shared" si="0"/>
        <v>71</v>
      </c>
      <c r="B80" s="13"/>
      <c r="C80" s="323" t="s">
        <v>355</v>
      </c>
      <c r="D80" s="924">
        <v>0</v>
      </c>
      <c r="E80" s="40" t="str">
        <f>"Line "&amp;A78&amp;" * Line "&amp;A79&amp;""</f>
        <v>Line 69 * Line 70</v>
      </c>
      <c r="F80" s="13"/>
      <c r="K80" s="6"/>
    </row>
    <row r="81" spans="1:11" x14ac:dyDescent="0.25">
      <c r="A81" s="94">
        <f t="shared" si="0"/>
        <v>72</v>
      </c>
      <c r="B81" s="13"/>
      <c r="C81" s="13"/>
      <c r="D81" s="13"/>
      <c r="E81" s="13"/>
      <c r="F81" s="13"/>
      <c r="K81" s="6"/>
    </row>
    <row r="82" spans="1:11" x14ac:dyDescent="0.25">
      <c r="A82" s="94">
        <f t="shared" si="0"/>
        <v>73</v>
      </c>
      <c r="B82" s="13"/>
      <c r="C82" s="323" t="s">
        <v>358</v>
      </c>
      <c r="D82" s="924">
        <v>0</v>
      </c>
      <c r="E82" s="40" t="str">
        <f>"10-CWIP, L "&amp;'10-CWIP'!A79&amp;", C8"</f>
        <v>10-CWIP, L 54, C8</v>
      </c>
      <c r="F82" s="13"/>
      <c r="K82" s="6"/>
    </row>
    <row r="83" spans="1:11" x14ac:dyDescent="0.25">
      <c r="A83" s="94">
        <f t="shared" si="0"/>
        <v>74</v>
      </c>
      <c r="B83" s="13"/>
      <c r="C83" s="323" t="s">
        <v>356</v>
      </c>
      <c r="D83" s="926" t="s">
        <v>2193</v>
      </c>
      <c r="E83" s="40" t="str">
        <f>"Line "&amp;A25&amp;""</f>
        <v>Line 16</v>
      </c>
      <c r="F83" s="13"/>
      <c r="K83" s="669"/>
    </row>
    <row r="84" spans="1:11" x14ac:dyDescent="0.25">
      <c r="A84" s="94">
        <f t="shared" si="0"/>
        <v>75</v>
      </c>
      <c r="B84" s="13"/>
      <c r="C84" s="323" t="s">
        <v>357</v>
      </c>
      <c r="D84" s="924">
        <v>0</v>
      </c>
      <c r="E84" s="40" t="str">
        <f>"Line "&amp;A82&amp;" * Line "&amp;A83&amp;""</f>
        <v>Line 73 * Line 74</v>
      </c>
      <c r="F84" s="13"/>
      <c r="K84" s="6"/>
    </row>
    <row r="85" spans="1:11" x14ac:dyDescent="0.25">
      <c r="A85" s="94">
        <f t="shared" si="0"/>
        <v>76</v>
      </c>
      <c r="B85" s="13"/>
      <c r="C85" s="13"/>
      <c r="D85" s="13"/>
      <c r="E85" s="13"/>
      <c r="F85" s="13"/>
      <c r="K85" s="6"/>
    </row>
    <row r="86" spans="1:11" x14ac:dyDescent="0.25">
      <c r="A86" s="94">
        <f t="shared" si="0"/>
        <v>77</v>
      </c>
      <c r="B86" s="13"/>
      <c r="C86" s="323" t="s">
        <v>1447</v>
      </c>
      <c r="D86" s="924">
        <v>0</v>
      </c>
      <c r="E86" s="40" t="str">
        <f>"Line "&amp;A80&amp;" + Line "&amp;A84&amp;""</f>
        <v>Line 71 + Line 75</v>
      </c>
      <c r="F86" s="13"/>
      <c r="K86" s="6"/>
    </row>
    <row r="87" spans="1:11" x14ac:dyDescent="0.25">
      <c r="A87" s="94">
        <f t="shared" si="0"/>
        <v>78</v>
      </c>
      <c r="B87" s="13"/>
      <c r="C87" s="13"/>
      <c r="D87" s="13"/>
      <c r="E87" s="13"/>
      <c r="F87" s="13"/>
      <c r="K87" s="6"/>
    </row>
    <row r="88" spans="1:11" x14ac:dyDescent="0.25">
      <c r="A88" s="94">
        <f t="shared" ref="A88:A91" si="1">A87+1</f>
        <v>79</v>
      </c>
      <c r="B88" s="13"/>
      <c r="C88" s="323" t="s">
        <v>1448</v>
      </c>
      <c r="D88" s="924">
        <v>0</v>
      </c>
      <c r="E88" s="96" t="str">
        <f>"Line "&amp;A86&amp;" * FF (from 28-FFU, L "&amp;'28-FFU'!A22&amp;")"</f>
        <v>Line 77 * FF (from 28-FFU, L 5)</v>
      </c>
      <c r="F88" s="13"/>
      <c r="K88" s="6"/>
    </row>
    <row r="89" spans="1:11" x14ac:dyDescent="0.25">
      <c r="A89" s="94">
        <f t="shared" si="1"/>
        <v>80</v>
      </c>
      <c r="B89" s="13"/>
      <c r="C89" s="72" t="s">
        <v>1449</v>
      </c>
      <c r="D89" s="924">
        <v>0</v>
      </c>
      <c r="E89" s="96" t="str">
        <f>"Line "&amp;A86&amp;" * U (from 28-FFU, L "&amp;'28-FFU'!A22&amp;")"</f>
        <v>Line 77 * U (from 28-FFU, L 5)</v>
      </c>
      <c r="F89" s="13"/>
      <c r="K89" s="6"/>
    </row>
    <row r="90" spans="1:11" x14ac:dyDescent="0.25">
      <c r="A90" s="94">
        <f t="shared" si="1"/>
        <v>81</v>
      </c>
      <c r="B90" s="13"/>
      <c r="C90" s="13"/>
      <c r="D90" s="56"/>
      <c r="E90" s="13"/>
      <c r="F90" s="13"/>
      <c r="K90" s="6"/>
    </row>
    <row r="91" spans="1:11" x14ac:dyDescent="0.25">
      <c r="A91" s="94">
        <f t="shared" si="1"/>
        <v>82</v>
      </c>
      <c r="B91" s="13"/>
      <c r="C91" s="72" t="s">
        <v>359</v>
      </c>
      <c r="D91" s="924">
        <v>0</v>
      </c>
      <c r="E91" s="40"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1690</v>
      </c>
      <c r="B1" s="202"/>
      <c r="C1" s="202"/>
      <c r="D1" s="202"/>
      <c r="E1" s="202"/>
      <c r="F1" s="202"/>
      <c r="G1" s="202"/>
      <c r="H1" s="202"/>
      <c r="I1" s="202"/>
      <c r="J1" s="202"/>
      <c r="K1" s="202"/>
      <c r="L1" s="202"/>
    </row>
    <row r="2" spans="1:12" x14ac:dyDescent="0.25">
      <c r="A2" s="202"/>
      <c r="B2" s="202"/>
      <c r="C2" s="202"/>
      <c r="D2" s="202"/>
      <c r="E2" s="202"/>
      <c r="F2" s="202"/>
      <c r="G2" s="202"/>
      <c r="H2" s="202"/>
      <c r="I2" s="202"/>
      <c r="J2" s="202"/>
      <c r="K2" s="202"/>
      <c r="L2" s="202"/>
    </row>
    <row r="3" spans="1:12" x14ac:dyDescent="0.25">
      <c r="A3" s="202"/>
      <c r="B3" s="1" t="s">
        <v>494</v>
      </c>
      <c r="C3" s="202"/>
      <c r="D3" s="202"/>
      <c r="E3" s="202"/>
      <c r="F3" s="202"/>
      <c r="G3" s="202"/>
      <c r="H3" s="202"/>
      <c r="I3" s="202"/>
      <c r="J3" s="202"/>
      <c r="K3" s="202"/>
      <c r="L3" s="202"/>
    </row>
    <row r="4" spans="1:12" x14ac:dyDescent="0.25">
      <c r="A4" s="202"/>
      <c r="B4" s="447" t="s">
        <v>2340</v>
      </c>
      <c r="C4" s="202"/>
      <c r="D4" s="202"/>
      <c r="E4" s="202"/>
      <c r="F4" s="202"/>
      <c r="G4" s="202"/>
      <c r="H4" s="202"/>
      <c r="I4" s="202"/>
      <c r="J4" s="202"/>
      <c r="K4" s="202"/>
      <c r="L4" s="202"/>
    </row>
    <row r="5" spans="1:12" x14ac:dyDescent="0.25">
      <c r="A5" s="202"/>
      <c r="B5" s="447" t="s">
        <v>1494</v>
      </c>
      <c r="C5" s="202"/>
      <c r="D5" s="202"/>
      <c r="E5" s="202"/>
      <c r="F5" s="202"/>
      <c r="G5" s="202"/>
      <c r="H5" s="202"/>
      <c r="I5" s="202"/>
      <c r="J5" s="202"/>
      <c r="K5" s="202"/>
      <c r="L5" s="202"/>
    </row>
    <row r="6" spans="1:12" x14ac:dyDescent="0.25">
      <c r="A6" s="202"/>
      <c r="B6" s="12" t="s">
        <v>1056</v>
      </c>
      <c r="C6" s="202"/>
      <c r="D6" s="202"/>
      <c r="E6" s="202"/>
      <c r="F6" s="202"/>
      <c r="G6" s="202"/>
      <c r="H6" s="202"/>
      <c r="I6" s="202"/>
      <c r="J6" s="202"/>
      <c r="K6" s="202"/>
      <c r="L6" s="202"/>
    </row>
    <row r="7" spans="1:12" x14ac:dyDescent="0.25">
      <c r="A7" s="202"/>
      <c r="B7" s="447" t="s">
        <v>2303</v>
      </c>
      <c r="C7" s="202"/>
      <c r="D7" s="202"/>
      <c r="E7" s="202"/>
      <c r="F7" s="202"/>
      <c r="G7" s="202"/>
      <c r="H7" s="202"/>
      <c r="I7" s="202"/>
      <c r="J7" s="202"/>
      <c r="K7" s="202"/>
      <c r="L7" s="202"/>
    </row>
    <row r="8" spans="1:12" x14ac:dyDescent="0.25">
      <c r="A8" s="202"/>
      <c r="B8" s="467" t="s">
        <v>2304</v>
      </c>
      <c r="C8" s="202"/>
      <c r="D8" s="202"/>
      <c r="E8" s="202"/>
      <c r="F8" s="202"/>
      <c r="G8" s="202"/>
      <c r="H8" s="202"/>
      <c r="I8" s="202"/>
      <c r="J8" s="202"/>
      <c r="K8" s="202"/>
      <c r="L8" s="202"/>
    </row>
    <row r="9" spans="1:12" ht="14.4" x14ac:dyDescent="0.3">
      <c r="A9" s="202"/>
      <c r="B9" s="447" t="s">
        <v>2305</v>
      </c>
      <c r="C9" s="202"/>
      <c r="D9" s="202"/>
      <c r="E9" s="202"/>
      <c r="F9" s="202"/>
      <c r="G9" s="202"/>
      <c r="H9" s="202"/>
      <c r="I9" s="202"/>
      <c r="J9" s="202"/>
      <c r="K9" s="210"/>
      <c r="L9" s="202"/>
    </row>
    <row r="10" spans="1:12" x14ac:dyDescent="0.25">
      <c r="A10" s="202"/>
      <c r="B10" s="202"/>
      <c r="C10" s="202"/>
      <c r="D10" s="202"/>
      <c r="E10" s="202"/>
      <c r="F10" s="202"/>
      <c r="G10" s="202"/>
      <c r="H10" s="202"/>
      <c r="I10" s="202"/>
      <c r="J10" s="202"/>
      <c r="K10" s="1056"/>
      <c r="L10" s="202"/>
    </row>
    <row r="11" spans="1:12" x14ac:dyDescent="0.25">
      <c r="A11" s="2"/>
      <c r="B11" s="75" t="s">
        <v>1495</v>
      </c>
      <c r="C11" s="202"/>
      <c r="D11" s="203"/>
      <c r="E11" s="204"/>
      <c r="F11" s="202"/>
      <c r="G11" s="202"/>
      <c r="H11" s="202"/>
      <c r="I11" s="202"/>
      <c r="J11" s="202"/>
      <c r="K11" s="1057"/>
      <c r="L11" s="202"/>
    </row>
    <row r="12" spans="1:12" x14ac:dyDescent="0.25">
      <c r="A12" s="2"/>
      <c r="B12" s="63" t="s">
        <v>2341</v>
      </c>
      <c r="C12" s="202"/>
      <c r="D12" s="203"/>
      <c r="E12" s="204"/>
      <c r="F12" s="202"/>
      <c r="G12" s="202"/>
      <c r="H12" s="202"/>
      <c r="I12" s="202"/>
      <c r="J12" s="202"/>
      <c r="K12" s="1058"/>
      <c r="L12" s="202"/>
    </row>
    <row r="13" spans="1:12" x14ac:dyDescent="0.25">
      <c r="A13" s="46" t="s">
        <v>322</v>
      </c>
      <c r="B13" s="202"/>
      <c r="C13" s="75"/>
      <c r="D13" s="203"/>
      <c r="E13" s="204"/>
      <c r="F13" s="3"/>
      <c r="G13" s="202"/>
      <c r="H13" s="202"/>
      <c r="I13" s="202"/>
      <c r="J13" s="202"/>
      <c r="K13" s="1057"/>
      <c r="L13" s="202"/>
    </row>
    <row r="14" spans="1:12" x14ac:dyDescent="0.25">
      <c r="A14" s="2">
        <f>A6+1</f>
        <v>1</v>
      </c>
      <c r="B14" s="202"/>
      <c r="C14" s="202"/>
      <c r="D14" s="466" t="s">
        <v>1493</v>
      </c>
      <c r="E14" s="924">
        <v>0</v>
      </c>
      <c r="F14" s="467" t="s">
        <v>1792</v>
      </c>
      <c r="G14" s="208"/>
      <c r="H14" s="202" t="str">
        <f>"Line "&amp;'4-TUTRR'!A72&amp;""</f>
        <v>Line 46</v>
      </c>
      <c r="I14" s="202"/>
      <c r="J14" s="202"/>
      <c r="K14" s="1059"/>
      <c r="L14" s="202"/>
    </row>
    <row r="15" spans="1:12" s="13" customFormat="1" x14ac:dyDescent="0.25">
      <c r="A15" s="94">
        <f>A14+1</f>
        <v>2</v>
      </c>
      <c r="B15" s="357"/>
      <c r="C15" s="208"/>
      <c r="D15" s="208"/>
      <c r="E15" s="208"/>
      <c r="F15" s="208"/>
      <c r="G15" s="208"/>
      <c r="H15" s="206"/>
      <c r="I15" s="208"/>
      <c r="J15" s="208"/>
      <c r="K15" s="208"/>
      <c r="L15" s="208"/>
    </row>
    <row r="16" spans="1:12" x14ac:dyDescent="0.25">
      <c r="A16" s="2">
        <f t="shared" ref="A16:A50" si="0">A15+1</f>
        <v>3</v>
      </c>
      <c r="B16" s="202"/>
      <c r="C16" s="202"/>
      <c r="D16" s="76" t="s">
        <v>363</v>
      </c>
      <c r="E16" s="76" t="s">
        <v>347</v>
      </c>
      <c r="F16" s="76" t="s">
        <v>348</v>
      </c>
      <c r="G16" s="76" t="s">
        <v>349</v>
      </c>
      <c r="H16" s="76" t="s">
        <v>350</v>
      </c>
      <c r="I16" s="76" t="s">
        <v>351</v>
      </c>
      <c r="J16" s="76" t="s">
        <v>352</v>
      </c>
      <c r="K16" s="76" t="s">
        <v>541</v>
      </c>
      <c r="L16" s="76" t="s">
        <v>955</v>
      </c>
    </row>
    <row r="17" spans="1:12" x14ac:dyDescent="0.25">
      <c r="A17" s="2">
        <f t="shared" si="0"/>
        <v>4</v>
      </c>
      <c r="B17" s="202"/>
      <c r="C17" s="203" t="s">
        <v>956</v>
      </c>
      <c r="D17" s="76"/>
      <c r="E17" s="79" t="s">
        <v>212</v>
      </c>
      <c r="F17" s="79" t="s">
        <v>284</v>
      </c>
      <c r="G17" s="444" t="s">
        <v>957</v>
      </c>
      <c r="H17" s="85" t="s">
        <v>530</v>
      </c>
      <c r="I17" s="444" t="s">
        <v>958</v>
      </c>
      <c r="J17" s="444" t="s">
        <v>528</v>
      </c>
      <c r="K17" s="444" t="s">
        <v>529</v>
      </c>
      <c r="L17" s="85" t="s">
        <v>959</v>
      </c>
    </row>
    <row r="18" spans="1:12" x14ac:dyDescent="0.25">
      <c r="A18" s="2">
        <f t="shared" si="0"/>
        <v>5</v>
      </c>
      <c r="B18" s="202"/>
      <c r="C18" s="202"/>
      <c r="D18" s="76"/>
      <c r="G18" s="4" t="s">
        <v>2319</v>
      </c>
      <c r="I18" s="76"/>
      <c r="J18" s="2" t="s">
        <v>205</v>
      </c>
      <c r="K18" s="76"/>
      <c r="L18" s="76"/>
    </row>
    <row r="19" spans="1:12" x14ac:dyDescent="0.25">
      <c r="A19" s="2">
        <f t="shared" si="0"/>
        <v>6</v>
      </c>
      <c r="B19" s="202"/>
      <c r="C19" s="202"/>
      <c r="D19" s="76"/>
      <c r="G19" s="425" t="s">
        <v>2320</v>
      </c>
      <c r="I19" s="202"/>
      <c r="J19" s="2" t="s">
        <v>30</v>
      </c>
      <c r="K19" s="202"/>
      <c r="L19" s="2" t="s">
        <v>205</v>
      </c>
    </row>
    <row r="20" spans="1:12" x14ac:dyDescent="0.25">
      <c r="A20" s="2">
        <f t="shared" si="0"/>
        <v>7</v>
      </c>
      <c r="B20" s="202"/>
      <c r="C20" s="202"/>
      <c r="D20" s="76"/>
      <c r="F20" s="2" t="s">
        <v>507</v>
      </c>
      <c r="G20" s="2" t="s">
        <v>2317</v>
      </c>
      <c r="H20" s="2" t="s">
        <v>19</v>
      </c>
      <c r="I20" s="202"/>
      <c r="J20" s="2" t="s">
        <v>31</v>
      </c>
      <c r="K20" s="202"/>
      <c r="L20" s="2" t="s">
        <v>30</v>
      </c>
    </row>
    <row r="21" spans="1:12" x14ac:dyDescent="0.25">
      <c r="A21" s="2">
        <f t="shared" si="0"/>
        <v>8</v>
      </c>
      <c r="B21" s="202"/>
      <c r="C21" s="202"/>
      <c r="D21" s="2"/>
      <c r="E21" s="2" t="s">
        <v>19</v>
      </c>
      <c r="F21" s="2" t="s">
        <v>526</v>
      </c>
      <c r="G21" s="2" t="s">
        <v>2316</v>
      </c>
      <c r="H21" s="2" t="s">
        <v>30</v>
      </c>
      <c r="I21" s="2" t="s">
        <v>19</v>
      </c>
      <c r="J21" s="2" t="s">
        <v>22</v>
      </c>
      <c r="K21" s="205" t="s">
        <v>23</v>
      </c>
      <c r="L21" s="2" t="s">
        <v>31</v>
      </c>
    </row>
    <row r="22" spans="1:12" x14ac:dyDescent="0.25">
      <c r="A22" s="2">
        <f t="shared" si="0"/>
        <v>9</v>
      </c>
      <c r="B22" s="202"/>
      <c r="C22" s="202"/>
      <c r="D22" s="2"/>
      <c r="E22" s="2" t="s">
        <v>282</v>
      </c>
      <c r="F22" s="2" t="s">
        <v>309</v>
      </c>
      <c r="G22" s="2" t="s">
        <v>960</v>
      </c>
      <c r="H22" s="2" t="s">
        <v>31</v>
      </c>
      <c r="I22" s="2" t="s">
        <v>23</v>
      </c>
      <c r="J22" s="2" t="s">
        <v>1057</v>
      </c>
      <c r="K22" s="2" t="s">
        <v>1058</v>
      </c>
      <c r="L22" s="2" t="s">
        <v>22</v>
      </c>
    </row>
    <row r="23" spans="1:12" s="13" customFormat="1" x14ac:dyDescent="0.25">
      <c r="A23" s="94">
        <f t="shared" si="0"/>
        <v>10</v>
      </c>
      <c r="B23" s="208"/>
      <c r="C23" s="24" t="s">
        <v>193</v>
      </c>
      <c r="D23" s="24" t="s">
        <v>194</v>
      </c>
      <c r="E23" s="104" t="s">
        <v>961</v>
      </c>
      <c r="F23" s="104" t="s">
        <v>21</v>
      </c>
      <c r="G23" s="104" t="s">
        <v>2321</v>
      </c>
      <c r="H23" s="104" t="s">
        <v>22</v>
      </c>
      <c r="I23" s="104" t="s">
        <v>13</v>
      </c>
      <c r="J23" s="104" t="s">
        <v>1059</v>
      </c>
      <c r="K23" s="104" t="s">
        <v>193</v>
      </c>
      <c r="L23" s="104" t="s">
        <v>962</v>
      </c>
    </row>
    <row r="24" spans="1:12" x14ac:dyDescent="0.25">
      <c r="A24" s="547">
        <f t="shared" si="0"/>
        <v>11</v>
      </c>
      <c r="B24" s="202"/>
      <c r="C24" s="475" t="s">
        <v>181</v>
      </c>
      <c r="D24" s="934" t="s">
        <v>1388</v>
      </c>
      <c r="E24" s="452" t="s">
        <v>77</v>
      </c>
      <c r="F24" s="452" t="s">
        <v>77</v>
      </c>
      <c r="G24" s="922">
        <v>0</v>
      </c>
      <c r="H24" s="924">
        <v>0</v>
      </c>
      <c r="I24" s="452" t="s">
        <v>77</v>
      </c>
      <c r="J24" s="924">
        <v>0</v>
      </c>
      <c r="K24" s="452" t="s">
        <v>77</v>
      </c>
      <c r="L24" s="924">
        <v>0</v>
      </c>
    </row>
    <row r="25" spans="1:12" x14ac:dyDescent="0.25">
      <c r="A25" s="547">
        <f t="shared" si="0"/>
        <v>12</v>
      </c>
      <c r="B25" s="202"/>
      <c r="C25" s="18" t="s">
        <v>182</v>
      </c>
      <c r="D25" s="934" t="s">
        <v>1388</v>
      </c>
      <c r="E25" s="924">
        <v>0</v>
      </c>
      <c r="F25" s="924">
        <v>0</v>
      </c>
      <c r="G25" s="922">
        <v>0</v>
      </c>
      <c r="H25" s="924">
        <v>0</v>
      </c>
      <c r="I25" s="935" t="s">
        <v>2193</v>
      </c>
      <c r="J25" s="924">
        <v>0</v>
      </c>
      <c r="K25" s="924">
        <v>0</v>
      </c>
      <c r="L25" s="924">
        <v>0</v>
      </c>
    </row>
    <row r="26" spans="1:12" x14ac:dyDescent="0.25">
      <c r="A26" s="547">
        <f t="shared" si="0"/>
        <v>13</v>
      </c>
      <c r="B26" s="202"/>
      <c r="C26" s="19" t="s">
        <v>183</v>
      </c>
      <c r="D26" s="934" t="s">
        <v>1388</v>
      </c>
      <c r="E26" s="924">
        <v>0</v>
      </c>
      <c r="F26" s="924">
        <v>0</v>
      </c>
      <c r="G26" s="922">
        <v>0</v>
      </c>
      <c r="H26" s="924">
        <v>0</v>
      </c>
      <c r="I26" s="935" t="s">
        <v>2193</v>
      </c>
      <c r="J26" s="924">
        <v>0</v>
      </c>
      <c r="K26" s="924">
        <v>0</v>
      </c>
      <c r="L26" s="924">
        <v>0</v>
      </c>
    </row>
    <row r="27" spans="1:12" x14ac:dyDescent="0.25">
      <c r="A27" s="547">
        <f t="shared" si="0"/>
        <v>14</v>
      </c>
      <c r="B27" s="202"/>
      <c r="C27" s="19" t="s">
        <v>196</v>
      </c>
      <c r="D27" s="934" t="s">
        <v>1388</v>
      </c>
      <c r="E27" s="924">
        <v>0</v>
      </c>
      <c r="F27" s="924">
        <v>0</v>
      </c>
      <c r="G27" s="922">
        <v>0</v>
      </c>
      <c r="H27" s="924">
        <v>0</v>
      </c>
      <c r="I27" s="935" t="s">
        <v>2193</v>
      </c>
      <c r="J27" s="924">
        <v>0</v>
      </c>
      <c r="K27" s="924">
        <v>0</v>
      </c>
      <c r="L27" s="924">
        <v>0</v>
      </c>
    </row>
    <row r="28" spans="1:12" x14ac:dyDescent="0.25">
      <c r="A28" s="547">
        <f t="shared" si="0"/>
        <v>15</v>
      </c>
      <c r="B28" s="202"/>
      <c r="C28" s="18" t="s">
        <v>184</v>
      </c>
      <c r="D28" s="934" t="s">
        <v>1388</v>
      </c>
      <c r="E28" s="924">
        <v>0</v>
      </c>
      <c r="F28" s="924">
        <v>0</v>
      </c>
      <c r="G28" s="922">
        <v>0</v>
      </c>
      <c r="H28" s="924">
        <v>0</v>
      </c>
      <c r="I28" s="935" t="s">
        <v>2193</v>
      </c>
      <c r="J28" s="924">
        <v>0</v>
      </c>
      <c r="K28" s="924">
        <v>0</v>
      </c>
      <c r="L28" s="924">
        <v>0</v>
      </c>
    </row>
    <row r="29" spans="1:12" x14ac:dyDescent="0.25">
      <c r="A29" s="547">
        <f t="shared" si="0"/>
        <v>16</v>
      </c>
      <c r="B29" s="202"/>
      <c r="C29" s="19" t="s">
        <v>185</v>
      </c>
      <c r="D29" s="934" t="s">
        <v>1388</v>
      </c>
      <c r="E29" s="924">
        <v>0</v>
      </c>
      <c r="F29" s="924">
        <v>0</v>
      </c>
      <c r="G29" s="922">
        <v>0</v>
      </c>
      <c r="H29" s="924">
        <v>0</v>
      </c>
      <c r="I29" s="935" t="s">
        <v>2193</v>
      </c>
      <c r="J29" s="924">
        <v>0</v>
      </c>
      <c r="K29" s="924">
        <v>0</v>
      </c>
      <c r="L29" s="924">
        <v>0</v>
      </c>
    </row>
    <row r="30" spans="1:12" x14ac:dyDescent="0.25">
      <c r="A30" s="547">
        <f t="shared" si="0"/>
        <v>17</v>
      </c>
      <c r="B30" s="202"/>
      <c r="C30" s="19" t="s">
        <v>186</v>
      </c>
      <c r="D30" s="934" t="s">
        <v>1388</v>
      </c>
      <c r="E30" s="924">
        <v>0</v>
      </c>
      <c r="F30" s="924">
        <v>0</v>
      </c>
      <c r="G30" s="922">
        <v>0</v>
      </c>
      <c r="H30" s="924">
        <v>0</v>
      </c>
      <c r="I30" s="935" t="s">
        <v>2193</v>
      </c>
      <c r="J30" s="924">
        <v>0</v>
      </c>
      <c r="K30" s="924">
        <v>0</v>
      </c>
      <c r="L30" s="924">
        <v>0</v>
      </c>
    </row>
    <row r="31" spans="1:12" x14ac:dyDescent="0.25">
      <c r="A31" s="547">
        <f t="shared" si="0"/>
        <v>18</v>
      </c>
      <c r="B31" s="202"/>
      <c r="C31" s="18" t="s">
        <v>187</v>
      </c>
      <c r="D31" s="934" t="s">
        <v>1388</v>
      </c>
      <c r="E31" s="924">
        <v>0</v>
      </c>
      <c r="F31" s="924">
        <v>0</v>
      </c>
      <c r="G31" s="922">
        <v>0</v>
      </c>
      <c r="H31" s="924">
        <v>0</v>
      </c>
      <c r="I31" s="935" t="s">
        <v>2193</v>
      </c>
      <c r="J31" s="924">
        <v>0</v>
      </c>
      <c r="K31" s="924">
        <v>0</v>
      </c>
      <c r="L31" s="924">
        <v>0</v>
      </c>
    </row>
    <row r="32" spans="1:12" x14ac:dyDescent="0.25">
      <c r="A32" s="547">
        <f t="shared" si="0"/>
        <v>19</v>
      </c>
      <c r="B32" s="202"/>
      <c r="C32" s="19" t="s">
        <v>188</v>
      </c>
      <c r="D32" s="934" t="s">
        <v>1388</v>
      </c>
      <c r="E32" s="924">
        <v>0</v>
      </c>
      <c r="F32" s="924">
        <v>0</v>
      </c>
      <c r="G32" s="922">
        <v>0</v>
      </c>
      <c r="H32" s="924">
        <v>0</v>
      </c>
      <c r="I32" s="935" t="s">
        <v>2193</v>
      </c>
      <c r="J32" s="924">
        <v>0</v>
      </c>
      <c r="K32" s="924">
        <v>0</v>
      </c>
      <c r="L32" s="924">
        <v>0</v>
      </c>
    </row>
    <row r="33" spans="1:12" x14ac:dyDescent="0.25">
      <c r="A33" s="547">
        <f t="shared" si="0"/>
        <v>20</v>
      </c>
      <c r="B33" s="202"/>
      <c r="C33" s="19" t="s">
        <v>189</v>
      </c>
      <c r="D33" s="934" t="s">
        <v>1388</v>
      </c>
      <c r="E33" s="924">
        <v>0</v>
      </c>
      <c r="F33" s="924">
        <v>0</v>
      </c>
      <c r="G33" s="922">
        <v>0</v>
      </c>
      <c r="H33" s="924">
        <v>0</v>
      </c>
      <c r="I33" s="935" t="s">
        <v>2193</v>
      </c>
      <c r="J33" s="924">
        <v>0</v>
      </c>
      <c r="K33" s="924">
        <v>0</v>
      </c>
      <c r="L33" s="924">
        <v>0</v>
      </c>
    </row>
    <row r="34" spans="1:12" x14ac:dyDescent="0.25">
      <c r="A34" s="547">
        <f t="shared" si="0"/>
        <v>21</v>
      </c>
      <c r="B34" s="202"/>
      <c r="C34" s="18" t="s">
        <v>192</v>
      </c>
      <c r="D34" s="934" t="s">
        <v>1388</v>
      </c>
      <c r="E34" s="924">
        <v>0</v>
      </c>
      <c r="F34" s="924">
        <v>0</v>
      </c>
      <c r="G34" s="922">
        <v>0</v>
      </c>
      <c r="H34" s="924">
        <v>0</v>
      </c>
      <c r="I34" s="935" t="s">
        <v>2193</v>
      </c>
      <c r="J34" s="924">
        <v>0</v>
      </c>
      <c r="K34" s="924">
        <v>0</v>
      </c>
      <c r="L34" s="924">
        <v>0</v>
      </c>
    </row>
    <row r="35" spans="1:12" x14ac:dyDescent="0.25">
      <c r="A35" s="547">
        <f t="shared" si="0"/>
        <v>22</v>
      </c>
      <c r="B35" s="202"/>
      <c r="C35" s="18" t="s">
        <v>191</v>
      </c>
      <c r="D35" s="934" t="s">
        <v>1388</v>
      </c>
      <c r="E35" s="924">
        <v>0</v>
      </c>
      <c r="F35" s="924">
        <v>0</v>
      </c>
      <c r="G35" s="922">
        <v>0</v>
      </c>
      <c r="H35" s="924">
        <v>0</v>
      </c>
      <c r="I35" s="935" t="s">
        <v>2193</v>
      </c>
      <c r="J35" s="924">
        <v>0</v>
      </c>
      <c r="K35" s="924">
        <v>0</v>
      </c>
      <c r="L35" s="924">
        <v>0</v>
      </c>
    </row>
    <row r="36" spans="1:12" x14ac:dyDescent="0.25">
      <c r="A36" s="547">
        <f t="shared" si="0"/>
        <v>23</v>
      </c>
      <c r="B36" s="202"/>
      <c r="C36" s="19" t="s">
        <v>181</v>
      </c>
      <c r="D36" s="934" t="s">
        <v>1388</v>
      </c>
      <c r="E36" s="924">
        <v>0</v>
      </c>
      <c r="F36" s="924">
        <v>0</v>
      </c>
      <c r="G36" s="922">
        <v>0</v>
      </c>
      <c r="H36" s="924">
        <v>0</v>
      </c>
      <c r="I36" s="935" t="s">
        <v>2193</v>
      </c>
      <c r="J36" s="924">
        <v>0</v>
      </c>
      <c r="K36" s="924">
        <v>0</v>
      </c>
      <c r="L36" s="924">
        <v>0</v>
      </c>
    </row>
    <row r="37" spans="1:12" x14ac:dyDescent="0.25">
      <c r="A37" s="94"/>
      <c r="B37" s="202"/>
      <c r="C37" s="19"/>
      <c r="D37" s="21"/>
      <c r="E37" s="202"/>
      <c r="F37" s="212"/>
      <c r="G37" s="209"/>
      <c r="H37" s="336"/>
      <c r="I37" s="202"/>
      <c r="J37" s="202"/>
      <c r="K37" s="202"/>
      <c r="L37" s="202"/>
    </row>
    <row r="38" spans="1:12" x14ac:dyDescent="0.25">
      <c r="A38" s="94">
        <f>A36+1</f>
        <v>24</v>
      </c>
      <c r="B38" s="1" t="s">
        <v>2306</v>
      </c>
      <c r="C38" s="19"/>
      <c r="D38" s="21"/>
      <c r="E38" s="202"/>
      <c r="F38" s="212"/>
      <c r="G38" s="209"/>
      <c r="H38" s="212"/>
      <c r="I38" s="202"/>
      <c r="J38" s="202"/>
      <c r="K38" s="202"/>
      <c r="L38" s="202"/>
    </row>
    <row r="39" spans="1:12" x14ac:dyDescent="0.25">
      <c r="A39" s="94">
        <f t="shared" si="0"/>
        <v>25</v>
      </c>
      <c r="B39" s="1"/>
      <c r="C39" s="19"/>
      <c r="D39" s="21"/>
      <c r="E39" s="202"/>
      <c r="F39" s="472" t="s">
        <v>233</v>
      </c>
      <c r="G39" s="209"/>
      <c r="H39" s="212"/>
      <c r="I39" s="202"/>
      <c r="J39" s="202"/>
      <c r="K39" s="202"/>
      <c r="L39" s="202"/>
    </row>
    <row r="40" spans="1:12" x14ac:dyDescent="0.25">
      <c r="A40" s="94">
        <f t="shared" si="0"/>
        <v>26</v>
      </c>
      <c r="B40" s="202"/>
      <c r="C40" s="19"/>
      <c r="D40" s="203" t="s">
        <v>1062</v>
      </c>
      <c r="E40" s="924">
        <v>0</v>
      </c>
      <c r="F40" s="442" t="s">
        <v>2314</v>
      </c>
      <c r="G40" s="209"/>
      <c r="H40" s="1053"/>
      <c r="I40" s="202"/>
      <c r="J40" s="202"/>
      <c r="K40" s="202"/>
      <c r="L40" s="202"/>
    </row>
    <row r="41" spans="1:12" x14ac:dyDescent="0.25">
      <c r="A41" s="94">
        <f t="shared" si="0"/>
        <v>27</v>
      </c>
      <c r="B41" s="202"/>
      <c r="C41" s="19"/>
      <c r="D41" s="441" t="s">
        <v>2308</v>
      </c>
      <c r="E41" s="1052">
        <v>0</v>
      </c>
      <c r="F41" s="442" t="s">
        <v>2311</v>
      </c>
      <c r="G41" s="209"/>
      <c r="J41" s="203" t="s">
        <v>2656</v>
      </c>
      <c r="K41" s="365"/>
      <c r="L41" s="365"/>
    </row>
    <row r="42" spans="1:12" x14ac:dyDescent="0.25">
      <c r="A42" s="94">
        <f t="shared" si="0"/>
        <v>28</v>
      </c>
      <c r="B42" s="202"/>
      <c r="C42" s="19"/>
      <c r="D42" s="441" t="s">
        <v>2309</v>
      </c>
      <c r="E42" s="924">
        <v>0</v>
      </c>
      <c r="F42" s="442" t="s">
        <v>2312</v>
      </c>
      <c r="G42" s="209"/>
      <c r="J42" s="442"/>
      <c r="K42" s="365"/>
      <c r="L42" s="365"/>
    </row>
    <row r="43" spans="1:12" ht="15" x14ac:dyDescent="0.4">
      <c r="A43" s="94">
        <f t="shared" si="0"/>
        <v>29</v>
      </c>
      <c r="B43" s="202"/>
      <c r="C43" s="19"/>
      <c r="D43" s="441" t="s">
        <v>2310</v>
      </c>
      <c r="E43" s="925">
        <v>0</v>
      </c>
      <c r="F43" s="442" t="s">
        <v>2313</v>
      </c>
      <c r="G43" s="209"/>
      <c r="I43" s="202"/>
      <c r="J43" s="202"/>
      <c r="K43" s="202"/>
      <c r="L43" s="202"/>
    </row>
    <row r="44" spans="1:12" x14ac:dyDescent="0.25">
      <c r="A44" s="94">
        <f>A43+1</f>
        <v>30</v>
      </c>
      <c r="B44" s="202"/>
      <c r="C44" s="19"/>
      <c r="D44" s="77" t="s">
        <v>32</v>
      </c>
      <c r="E44" s="924">
        <v>0</v>
      </c>
      <c r="F44" s="1054" t="s">
        <v>2315</v>
      </c>
      <c r="G44" s="209"/>
      <c r="H44" s="212"/>
      <c r="I44" s="202"/>
      <c r="J44" s="202"/>
      <c r="K44" s="202"/>
      <c r="L44" s="202"/>
    </row>
    <row r="45" spans="1:12" x14ac:dyDescent="0.25">
      <c r="A45" s="94">
        <f t="shared" si="0"/>
        <v>31</v>
      </c>
      <c r="B45" s="202"/>
      <c r="C45" s="202"/>
      <c r="D45" s="202"/>
      <c r="E45" s="202"/>
      <c r="F45" s="471" t="s">
        <v>1541</v>
      </c>
      <c r="G45" s="202"/>
      <c r="H45" s="202"/>
      <c r="I45" s="202"/>
      <c r="J45" s="202"/>
      <c r="K45" s="202"/>
      <c r="L45" s="202"/>
    </row>
    <row r="46" spans="1:12" x14ac:dyDescent="0.25">
      <c r="A46" s="94">
        <f t="shared" si="0"/>
        <v>32</v>
      </c>
      <c r="B46" s="1" t="s">
        <v>2307</v>
      </c>
      <c r="C46" s="202"/>
      <c r="D46" s="202"/>
      <c r="E46" s="202"/>
      <c r="F46" s="213"/>
      <c r="G46" s="202"/>
      <c r="H46" s="202"/>
      <c r="I46" s="202"/>
      <c r="J46" s="202"/>
      <c r="K46" s="202"/>
      <c r="L46" s="202"/>
    </row>
    <row r="47" spans="1:12" x14ac:dyDescent="0.25">
      <c r="A47" s="94">
        <f t="shared" si="0"/>
        <v>33</v>
      </c>
      <c r="B47" s="12" t="s">
        <v>371</v>
      </c>
      <c r="C47" s="202"/>
      <c r="D47" s="202"/>
      <c r="E47" s="202"/>
      <c r="F47" s="202"/>
      <c r="G47" s="202"/>
      <c r="H47" s="202"/>
      <c r="I47" s="202"/>
      <c r="J47" s="202"/>
      <c r="K47" s="202"/>
      <c r="L47" s="202"/>
    </row>
    <row r="48" spans="1:12" x14ac:dyDescent="0.25">
      <c r="A48" s="94">
        <f t="shared" si="0"/>
        <v>34</v>
      </c>
      <c r="B48" s="12" t="s">
        <v>372</v>
      </c>
      <c r="C48" s="202"/>
      <c r="D48" s="202"/>
      <c r="E48" s="202"/>
      <c r="F48" s="202"/>
      <c r="G48" s="202"/>
      <c r="H48" s="202"/>
      <c r="I48" s="202"/>
      <c r="J48" s="202"/>
      <c r="K48" s="202"/>
      <c r="L48" s="202"/>
    </row>
    <row r="49" spans="1:12" x14ac:dyDescent="0.25">
      <c r="A49" s="94">
        <f t="shared" si="0"/>
        <v>35</v>
      </c>
      <c r="B49" s="12" t="s">
        <v>373</v>
      </c>
      <c r="C49" s="202"/>
      <c r="D49" s="202"/>
      <c r="E49" s="202"/>
      <c r="F49" s="202"/>
      <c r="G49" s="202"/>
      <c r="H49" s="202"/>
      <c r="I49" s="202"/>
      <c r="J49" s="202"/>
      <c r="K49" s="202"/>
      <c r="L49" s="202"/>
    </row>
    <row r="50" spans="1:12" x14ac:dyDescent="0.25">
      <c r="A50" s="94">
        <f t="shared" si="0"/>
        <v>36</v>
      </c>
      <c r="B50" s="202"/>
      <c r="C50" s="202"/>
      <c r="D50" s="202"/>
      <c r="E50" s="202"/>
      <c r="F50" s="202"/>
      <c r="G50" s="202"/>
      <c r="H50" s="202"/>
      <c r="I50" s="202"/>
      <c r="J50" s="202"/>
      <c r="K50" s="202"/>
      <c r="L50" s="202"/>
    </row>
    <row r="51" spans="1:12" x14ac:dyDescent="0.25">
      <c r="A51" s="94">
        <f t="shared" ref="A51:A91" si="1">A50+1</f>
        <v>37</v>
      </c>
      <c r="B51" s="1" t="s">
        <v>1210</v>
      </c>
      <c r="C51" s="202"/>
      <c r="D51" s="202"/>
      <c r="E51" s="202"/>
      <c r="F51" s="202"/>
      <c r="G51" s="202"/>
      <c r="H51" s="202"/>
      <c r="I51" s="202"/>
      <c r="J51" s="202"/>
      <c r="K51" s="202"/>
      <c r="L51" s="202"/>
    </row>
    <row r="52" spans="1:12" x14ac:dyDescent="0.25">
      <c r="A52" s="94">
        <f t="shared" si="1"/>
        <v>38</v>
      </c>
      <c r="B52" s="202"/>
      <c r="C52" s="202"/>
      <c r="D52" s="205" t="s">
        <v>1163</v>
      </c>
      <c r="E52" s="202"/>
      <c r="G52" s="202"/>
      <c r="H52" s="202"/>
      <c r="I52" s="202"/>
      <c r="J52" s="202"/>
      <c r="K52" s="202"/>
      <c r="L52" s="202"/>
    </row>
    <row r="53" spans="1:12" x14ac:dyDescent="0.25">
      <c r="A53" s="94">
        <f t="shared" si="1"/>
        <v>39</v>
      </c>
      <c r="B53" s="202"/>
      <c r="C53" s="22" t="s">
        <v>193</v>
      </c>
      <c r="D53" s="3" t="s">
        <v>1063</v>
      </c>
      <c r="E53" s="3" t="s">
        <v>239</v>
      </c>
      <c r="G53" s="208"/>
      <c r="H53" s="208"/>
      <c r="I53" s="208"/>
      <c r="J53" s="208"/>
      <c r="K53" s="208"/>
      <c r="L53" s="208"/>
    </row>
    <row r="54" spans="1:12" x14ac:dyDescent="0.25">
      <c r="A54" s="94">
        <f t="shared" si="1"/>
        <v>40</v>
      </c>
      <c r="B54" s="202"/>
      <c r="C54" s="18" t="s">
        <v>182</v>
      </c>
      <c r="D54" s="105">
        <v>6.3763211440757639E-2</v>
      </c>
      <c r="E54" s="12" t="s">
        <v>1216</v>
      </c>
      <c r="G54" s="208"/>
      <c r="H54" s="208"/>
      <c r="I54" s="208"/>
      <c r="J54" s="208"/>
      <c r="K54" s="208"/>
      <c r="L54" s="208"/>
    </row>
    <row r="55" spans="1:12" x14ac:dyDescent="0.25">
      <c r="A55" s="94">
        <f t="shared" si="1"/>
        <v>41</v>
      </c>
      <c r="B55" s="202"/>
      <c r="C55" s="19" t="s">
        <v>183</v>
      </c>
      <c r="D55" s="105">
        <v>5.6553289888256801E-2</v>
      </c>
      <c r="G55" s="208"/>
      <c r="H55" s="208"/>
      <c r="I55" s="208"/>
      <c r="J55" s="208"/>
      <c r="K55" s="208"/>
      <c r="L55" s="208"/>
    </row>
    <row r="56" spans="1:12" x14ac:dyDescent="0.25">
      <c r="A56" s="94">
        <f t="shared" si="1"/>
        <v>42</v>
      </c>
      <c r="B56" s="202"/>
      <c r="C56" s="19" t="s">
        <v>196</v>
      </c>
      <c r="D56" s="105">
        <v>7.1828142218240867E-2</v>
      </c>
      <c r="E56" s="12"/>
      <c r="G56" s="208"/>
      <c r="H56" s="208"/>
      <c r="I56" s="208"/>
      <c r="J56" s="208"/>
      <c r="K56" s="208"/>
      <c r="L56" s="208"/>
    </row>
    <row r="57" spans="1:12" x14ac:dyDescent="0.25">
      <c r="A57" s="94">
        <f t="shared" si="1"/>
        <v>43</v>
      </c>
      <c r="B57" s="202"/>
      <c r="C57" s="18" t="s">
        <v>184</v>
      </c>
      <c r="D57" s="105">
        <v>8.2236801934806855E-2</v>
      </c>
      <c r="E57" s="128"/>
      <c r="G57" s="208"/>
      <c r="H57" s="208"/>
      <c r="I57" s="208"/>
      <c r="J57" s="208"/>
      <c r="K57" s="208"/>
      <c r="L57" s="208"/>
    </row>
    <row r="58" spans="1:12" x14ac:dyDescent="0.25">
      <c r="A58" s="94">
        <f t="shared" si="1"/>
        <v>44</v>
      </c>
      <c r="B58" s="202"/>
      <c r="C58" s="19" t="s">
        <v>185</v>
      </c>
      <c r="D58" s="105">
        <v>8.01837425905748E-2</v>
      </c>
      <c r="E58" s="214"/>
      <c r="G58" s="208"/>
      <c r="H58" s="208"/>
      <c r="I58" s="208"/>
      <c r="J58" s="208"/>
      <c r="K58" s="208"/>
      <c r="L58" s="208"/>
    </row>
    <row r="59" spans="1:12" x14ac:dyDescent="0.25">
      <c r="A59" s="94">
        <f t="shared" si="1"/>
        <v>45</v>
      </c>
      <c r="B59" s="202"/>
      <c r="C59" s="19" t="s">
        <v>186</v>
      </c>
      <c r="D59" s="105">
        <v>8.9450501877561497E-2</v>
      </c>
      <c r="E59" s="214"/>
      <c r="G59" s="208"/>
      <c r="H59" s="208"/>
      <c r="I59" s="208"/>
      <c r="J59" s="208"/>
      <c r="K59" s="208"/>
      <c r="L59" s="208"/>
    </row>
    <row r="60" spans="1:12" x14ac:dyDescent="0.25">
      <c r="A60" s="94">
        <f t="shared" si="1"/>
        <v>46</v>
      </c>
      <c r="B60" s="202"/>
      <c r="C60" s="18" t="s">
        <v>187</v>
      </c>
      <c r="D60" s="105">
        <v>9.8908415854749826E-2</v>
      </c>
      <c r="E60" s="214"/>
      <c r="G60" s="208"/>
      <c r="H60" s="208"/>
      <c r="I60" s="208"/>
      <c r="J60" s="208"/>
      <c r="K60" s="208"/>
      <c r="L60" s="208"/>
    </row>
    <row r="61" spans="1:12" x14ac:dyDescent="0.25">
      <c r="A61" s="94">
        <f t="shared" si="1"/>
        <v>47</v>
      </c>
      <c r="B61" s="202"/>
      <c r="C61" s="19" t="s">
        <v>188</v>
      </c>
      <c r="D61" s="105">
        <v>0.10141004323318151</v>
      </c>
      <c r="E61" s="214"/>
      <c r="G61" s="208"/>
      <c r="H61" s="208"/>
      <c r="I61" s="208"/>
      <c r="J61" s="208"/>
      <c r="K61" s="208"/>
      <c r="L61" s="208"/>
    </row>
    <row r="62" spans="1:12" x14ac:dyDescent="0.25">
      <c r="A62" s="94">
        <f t="shared" si="1"/>
        <v>48</v>
      </c>
      <c r="B62" s="202"/>
      <c r="C62" s="19" t="s">
        <v>189</v>
      </c>
      <c r="D62" s="105">
        <v>0.10217900008822713</v>
      </c>
      <c r="E62" s="214"/>
      <c r="G62" s="208"/>
      <c r="H62" s="208"/>
      <c r="I62" s="208"/>
      <c r="J62" s="208"/>
      <c r="K62" s="208"/>
      <c r="L62" s="208"/>
    </row>
    <row r="63" spans="1:12" x14ac:dyDescent="0.25">
      <c r="A63" s="94">
        <f t="shared" si="1"/>
        <v>49</v>
      </c>
      <c r="B63" s="202"/>
      <c r="C63" s="18" t="s">
        <v>192</v>
      </c>
      <c r="D63" s="105">
        <v>9.1787269171678454E-2</v>
      </c>
      <c r="E63" s="214"/>
      <c r="G63" s="208"/>
      <c r="H63" s="208"/>
      <c r="I63" s="208"/>
      <c r="J63" s="208"/>
      <c r="K63" s="208"/>
      <c r="L63" s="208"/>
    </row>
    <row r="64" spans="1:12" x14ac:dyDescent="0.25">
      <c r="A64" s="94">
        <f t="shared" si="1"/>
        <v>50</v>
      </c>
      <c r="B64" s="202"/>
      <c r="C64" s="18" t="s">
        <v>191</v>
      </c>
      <c r="D64" s="105">
        <v>7.5296938318149625E-2</v>
      </c>
      <c r="E64" s="214"/>
      <c r="G64" s="202"/>
      <c r="H64" s="202"/>
      <c r="I64" s="202"/>
      <c r="J64" s="202"/>
      <c r="K64" s="202"/>
      <c r="L64" s="202"/>
    </row>
    <row r="65" spans="1:12" x14ac:dyDescent="0.25">
      <c r="A65" s="94">
        <f t="shared" si="1"/>
        <v>51</v>
      </c>
      <c r="B65" s="202"/>
      <c r="C65" s="19" t="s">
        <v>181</v>
      </c>
      <c r="D65" s="337">
        <v>8.640264338381512E-2</v>
      </c>
      <c r="E65" s="132"/>
      <c r="G65" s="202"/>
      <c r="H65" s="202"/>
      <c r="I65" s="202"/>
      <c r="J65" s="202"/>
      <c r="K65" s="202"/>
      <c r="L65" s="202"/>
    </row>
    <row r="66" spans="1:12" x14ac:dyDescent="0.25">
      <c r="A66" s="94">
        <f t="shared" si="1"/>
        <v>52</v>
      </c>
      <c r="B66" s="202"/>
      <c r="C66" s="28" t="s">
        <v>4</v>
      </c>
      <c r="D66" s="362">
        <f>SUM(D54:D65)</f>
        <v>1.0000000000000002</v>
      </c>
      <c r="E66" s="202"/>
      <c r="G66" s="202"/>
      <c r="H66" s="202"/>
      <c r="I66" s="202"/>
      <c r="J66" s="202"/>
      <c r="K66" s="202"/>
      <c r="L66" s="202"/>
    </row>
    <row r="67" spans="1:12" x14ac:dyDescent="0.25">
      <c r="A67" s="94">
        <f t="shared" si="1"/>
        <v>53</v>
      </c>
      <c r="B67" s="202"/>
      <c r="C67" s="202"/>
      <c r="D67" s="202"/>
      <c r="E67" s="202"/>
      <c r="F67" s="2"/>
      <c r="G67" s="202"/>
      <c r="H67" s="202"/>
      <c r="I67" s="202"/>
      <c r="J67" s="202"/>
      <c r="K67" s="202"/>
      <c r="L67" s="202"/>
    </row>
    <row r="68" spans="1:12" x14ac:dyDescent="0.25">
      <c r="A68" s="94">
        <f t="shared" si="1"/>
        <v>54</v>
      </c>
      <c r="B68" s="1" t="s">
        <v>2318</v>
      </c>
      <c r="C68" s="202"/>
      <c r="D68" s="202"/>
      <c r="E68" s="202"/>
      <c r="F68" s="2"/>
      <c r="G68" s="202"/>
      <c r="H68" s="202"/>
      <c r="I68" s="202"/>
      <c r="J68" s="202"/>
      <c r="K68" s="202"/>
      <c r="L68" s="202"/>
    </row>
    <row r="69" spans="1:12" x14ac:dyDescent="0.25">
      <c r="A69" s="94">
        <f t="shared" si="1"/>
        <v>55</v>
      </c>
      <c r="B69" s="202"/>
      <c r="C69" s="202"/>
      <c r="D69" s="202"/>
      <c r="E69" s="202"/>
      <c r="F69" s="2"/>
      <c r="G69" s="202"/>
      <c r="H69" s="202"/>
      <c r="I69" s="202"/>
      <c r="J69" s="202"/>
      <c r="K69" s="202"/>
      <c r="L69" s="202"/>
    </row>
    <row r="70" spans="1:12" x14ac:dyDescent="0.25">
      <c r="A70" s="94">
        <f t="shared" si="1"/>
        <v>56</v>
      </c>
      <c r="B70" s="202"/>
      <c r="C70" s="76" t="s">
        <v>363</v>
      </c>
      <c r="D70" s="76" t="s">
        <v>347</v>
      </c>
      <c r="E70" s="76" t="s">
        <v>348</v>
      </c>
      <c r="F70" s="76" t="s">
        <v>349</v>
      </c>
      <c r="G70" s="76" t="s">
        <v>350</v>
      </c>
      <c r="H70" s="76" t="s">
        <v>351</v>
      </c>
      <c r="I70" s="76" t="s">
        <v>352</v>
      </c>
      <c r="J70" s="202"/>
      <c r="K70" s="202"/>
      <c r="L70" s="202"/>
    </row>
    <row r="71" spans="1:12" x14ac:dyDescent="0.25">
      <c r="A71" s="94">
        <f t="shared" si="1"/>
        <v>57</v>
      </c>
      <c r="B71" s="202"/>
      <c r="C71" s="444" t="s">
        <v>1060</v>
      </c>
      <c r="D71" s="444" t="s">
        <v>1061</v>
      </c>
      <c r="E71" s="76"/>
      <c r="F71" s="76"/>
      <c r="G71" s="76"/>
      <c r="H71" s="76"/>
      <c r="I71" s="79" t="s">
        <v>532</v>
      </c>
      <c r="J71" s="202"/>
      <c r="K71" s="202"/>
      <c r="L71" s="202"/>
    </row>
    <row r="72" spans="1:12" x14ac:dyDescent="0.25">
      <c r="A72" s="94">
        <f t="shared" si="1"/>
        <v>58</v>
      </c>
      <c r="B72" s="202"/>
      <c r="C72" s="202"/>
      <c r="D72" s="202"/>
      <c r="E72" s="202"/>
      <c r="F72" s="2"/>
      <c r="G72" s="202"/>
      <c r="H72" s="202"/>
      <c r="I72" s="202"/>
      <c r="J72" s="202"/>
      <c r="K72" s="202"/>
      <c r="L72" s="202"/>
    </row>
    <row r="73" spans="1:12" x14ac:dyDescent="0.25">
      <c r="A73" s="94">
        <f t="shared" si="1"/>
        <v>59</v>
      </c>
      <c r="B73" s="202"/>
      <c r="C73" s="2" t="s">
        <v>507</v>
      </c>
      <c r="D73" s="202"/>
      <c r="E73" s="202"/>
      <c r="F73" s="2"/>
      <c r="G73" s="202"/>
      <c r="H73" s="202"/>
      <c r="I73" s="2" t="s">
        <v>19</v>
      </c>
      <c r="J73" s="202"/>
      <c r="K73" s="202"/>
      <c r="L73" s="202"/>
    </row>
    <row r="74" spans="1:12" x14ac:dyDescent="0.25">
      <c r="A74" s="94">
        <f t="shared" si="1"/>
        <v>60</v>
      </c>
      <c r="B74" s="205" t="s">
        <v>407</v>
      </c>
      <c r="C74" s="2" t="s">
        <v>526</v>
      </c>
      <c r="D74" s="202"/>
      <c r="E74" s="202"/>
      <c r="F74" s="76"/>
      <c r="G74" s="202"/>
      <c r="H74" s="202"/>
      <c r="I74" s="2" t="s">
        <v>197</v>
      </c>
      <c r="J74" s="202"/>
      <c r="K74" s="202"/>
      <c r="L74" s="202"/>
    </row>
    <row r="75" spans="1:12" x14ac:dyDescent="0.25">
      <c r="A75" s="94">
        <f t="shared" si="1"/>
        <v>61</v>
      </c>
      <c r="B75" s="205" t="s">
        <v>194</v>
      </c>
      <c r="C75" s="2" t="s">
        <v>309</v>
      </c>
      <c r="D75" s="2" t="s">
        <v>361</v>
      </c>
      <c r="E75" s="2"/>
      <c r="F75" s="2"/>
      <c r="G75" s="2" t="s">
        <v>524</v>
      </c>
      <c r="H75" s="2"/>
      <c r="I75" s="2" t="s">
        <v>20</v>
      </c>
      <c r="J75" s="202"/>
      <c r="K75" s="202"/>
      <c r="L75" s="202"/>
    </row>
    <row r="76" spans="1:12" x14ac:dyDescent="0.25">
      <c r="A76" s="94">
        <f t="shared" si="1"/>
        <v>62</v>
      </c>
      <c r="B76" s="3" t="s">
        <v>193</v>
      </c>
      <c r="C76" s="3" t="s">
        <v>21</v>
      </c>
      <c r="D76" s="3" t="s">
        <v>309</v>
      </c>
      <c r="E76" s="3" t="s">
        <v>308</v>
      </c>
      <c r="F76" s="3" t="s">
        <v>523</v>
      </c>
      <c r="G76" s="3" t="s">
        <v>525</v>
      </c>
      <c r="H76" s="3" t="s">
        <v>361</v>
      </c>
      <c r="I76" s="3" t="s">
        <v>78</v>
      </c>
      <c r="J76" s="202"/>
      <c r="K76" s="202"/>
      <c r="L76" s="202"/>
    </row>
    <row r="77" spans="1:12" x14ac:dyDescent="0.25">
      <c r="A77" s="94">
        <f t="shared" si="1"/>
        <v>63</v>
      </c>
      <c r="B77" s="215" t="s">
        <v>65</v>
      </c>
      <c r="C77" s="922">
        <v>0</v>
      </c>
      <c r="D77" s="922">
        <v>0</v>
      </c>
      <c r="E77" s="922">
        <v>0</v>
      </c>
      <c r="F77" s="922">
        <v>0</v>
      </c>
      <c r="G77" s="922">
        <v>0</v>
      </c>
      <c r="H77" s="922">
        <v>0</v>
      </c>
      <c r="I77" s="924">
        <v>0</v>
      </c>
      <c r="J77" s="202"/>
      <c r="K77" s="202"/>
      <c r="L77" s="202"/>
    </row>
    <row r="78" spans="1:12" x14ac:dyDescent="0.25">
      <c r="A78" s="94">
        <f t="shared" si="1"/>
        <v>64</v>
      </c>
      <c r="B78" s="215" t="s">
        <v>66</v>
      </c>
      <c r="C78" s="922">
        <v>0</v>
      </c>
      <c r="D78" s="922">
        <v>0</v>
      </c>
      <c r="E78" s="922">
        <v>0</v>
      </c>
      <c r="F78" s="922">
        <v>0</v>
      </c>
      <c r="G78" s="922">
        <v>0</v>
      </c>
      <c r="H78" s="922">
        <v>0</v>
      </c>
      <c r="I78" s="924">
        <v>0</v>
      </c>
      <c r="J78" s="202"/>
      <c r="K78" s="202"/>
      <c r="L78" s="202"/>
    </row>
    <row r="79" spans="1:12" x14ac:dyDescent="0.25">
      <c r="A79" s="94">
        <f t="shared" si="1"/>
        <v>65</v>
      </c>
      <c r="B79" s="215" t="s">
        <v>67</v>
      </c>
      <c r="C79" s="922">
        <v>0</v>
      </c>
      <c r="D79" s="922">
        <v>0</v>
      </c>
      <c r="E79" s="922">
        <v>0</v>
      </c>
      <c r="F79" s="922">
        <v>0</v>
      </c>
      <c r="G79" s="922">
        <v>0</v>
      </c>
      <c r="H79" s="922">
        <v>0</v>
      </c>
      <c r="I79" s="924">
        <v>0</v>
      </c>
      <c r="J79" s="202"/>
      <c r="K79" s="202"/>
      <c r="L79" s="202"/>
    </row>
    <row r="80" spans="1:12" x14ac:dyDescent="0.25">
      <c r="A80" s="94">
        <f t="shared" si="1"/>
        <v>66</v>
      </c>
      <c r="B80" s="215" t="s">
        <v>68</v>
      </c>
      <c r="C80" s="922">
        <v>0</v>
      </c>
      <c r="D80" s="922">
        <v>0</v>
      </c>
      <c r="E80" s="922">
        <v>0</v>
      </c>
      <c r="F80" s="922">
        <v>0</v>
      </c>
      <c r="G80" s="922">
        <v>0</v>
      </c>
      <c r="H80" s="922">
        <v>0</v>
      </c>
      <c r="I80" s="924">
        <v>0</v>
      </c>
      <c r="J80" s="202"/>
      <c r="K80" s="202"/>
      <c r="L80" s="202"/>
    </row>
    <row r="81" spans="1:12" x14ac:dyDescent="0.25">
      <c r="A81" s="94">
        <f t="shared" si="1"/>
        <v>67</v>
      </c>
      <c r="B81" s="79" t="s">
        <v>185</v>
      </c>
      <c r="C81" s="922">
        <v>0</v>
      </c>
      <c r="D81" s="922">
        <v>0</v>
      </c>
      <c r="E81" s="922">
        <v>0</v>
      </c>
      <c r="F81" s="922">
        <v>0</v>
      </c>
      <c r="G81" s="922">
        <v>0</v>
      </c>
      <c r="H81" s="922">
        <v>0</v>
      </c>
      <c r="I81" s="924">
        <v>0</v>
      </c>
      <c r="J81" s="202"/>
      <c r="K81" s="202"/>
      <c r="L81" s="202"/>
    </row>
    <row r="82" spans="1:12" x14ac:dyDescent="0.25">
      <c r="A82" s="94">
        <f t="shared" si="1"/>
        <v>68</v>
      </c>
      <c r="B82" s="215" t="s">
        <v>69</v>
      </c>
      <c r="C82" s="922">
        <v>0</v>
      </c>
      <c r="D82" s="922">
        <v>0</v>
      </c>
      <c r="E82" s="922">
        <v>0</v>
      </c>
      <c r="F82" s="922">
        <v>0</v>
      </c>
      <c r="G82" s="922">
        <v>0</v>
      </c>
      <c r="H82" s="922">
        <v>0</v>
      </c>
      <c r="I82" s="924">
        <v>0</v>
      </c>
      <c r="J82" s="202"/>
      <c r="K82" s="202"/>
      <c r="L82" s="202"/>
    </row>
    <row r="83" spans="1:12" x14ac:dyDescent="0.25">
      <c r="A83" s="94">
        <f t="shared" si="1"/>
        <v>69</v>
      </c>
      <c r="B83" s="215" t="s">
        <v>70</v>
      </c>
      <c r="C83" s="922">
        <v>0</v>
      </c>
      <c r="D83" s="922">
        <v>0</v>
      </c>
      <c r="E83" s="922">
        <v>0</v>
      </c>
      <c r="F83" s="922">
        <v>0</v>
      </c>
      <c r="G83" s="922">
        <v>0</v>
      </c>
      <c r="H83" s="922">
        <v>0</v>
      </c>
      <c r="I83" s="924">
        <v>0</v>
      </c>
      <c r="J83" s="202"/>
      <c r="K83" s="202"/>
      <c r="L83" s="202"/>
    </row>
    <row r="84" spans="1:12" x14ac:dyDescent="0.25">
      <c r="A84" s="94">
        <f t="shared" si="1"/>
        <v>70</v>
      </c>
      <c r="B84" s="215" t="s">
        <v>71</v>
      </c>
      <c r="C84" s="922">
        <v>0</v>
      </c>
      <c r="D84" s="922">
        <v>0</v>
      </c>
      <c r="E84" s="922">
        <v>0</v>
      </c>
      <c r="F84" s="922">
        <v>0</v>
      </c>
      <c r="G84" s="922">
        <v>0</v>
      </c>
      <c r="H84" s="922">
        <v>0</v>
      </c>
      <c r="I84" s="924">
        <v>0</v>
      </c>
      <c r="J84" s="202"/>
      <c r="K84" s="202"/>
      <c r="L84" s="202"/>
    </row>
    <row r="85" spans="1:12" x14ac:dyDescent="0.25">
      <c r="A85" s="94">
        <f t="shared" si="1"/>
        <v>71</v>
      </c>
      <c r="B85" s="215" t="s">
        <v>72</v>
      </c>
      <c r="C85" s="922">
        <v>0</v>
      </c>
      <c r="D85" s="922">
        <v>0</v>
      </c>
      <c r="E85" s="922">
        <v>0</v>
      </c>
      <c r="F85" s="922">
        <v>0</v>
      </c>
      <c r="G85" s="922">
        <v>0</v>
      </c>
      <c r="H85" s="922">
        <v>0</v>
      </c>
      <c r="I85" s="924">
        <v>0</v>
      </c>
      <c r="J85" s="202"/>
      <c r="K85" s="202"/>
      <c r="L85" s="202"/>
    </row>
    <row r="86" spans="1:12" x14ac:dyDescent="0.25">
      <c r="A86" s="94">
        <f t="shared" si="1"/>
        <v>72</v>
      </c>
      <c r="B86" s="215" t="s">
        <v>73</v>
      </c>
      <c r="C86" s="922">
        <v>0</v>
      </c>
      <c r="D86" s="922">
        <v>0</v>
      </c>
      <c r="E86" s="922">
        <v>0</v>
      </c>
      <c r="F86" s="922">
        <v>0</v>
      </c>
      <c r="G86" s="922">
        <v>0</v>
      </c>
      <c r="H86" s="922">
        <v>0</v>
      </c>
      <c r="I86" s="924">
        <v>0</v>
      </c>
      <c r="J86" s="202"/>
      <c r="K86" s="202"/>
      <c r="L86" s="202"/>
    </row>
    <row r="87" spans="1:12" x14ac:dyDescent="0.25">
      <c r="A87" s="94">
        <f t="shared" si="1"/>
        <v>73</v>
      </c>
      <c r="B87" s="215" t="s">
        <v>74</v>
      </c>
      <c r="C87" s="922">
        <v>0</v>
      </c>
      <c r="D87" s="922">
        <v>0</v>
      </c>
      <c r="E87" s="922">
        <v>0</v>
      </c>
      <c r="F87" s="922">
        <v>0</v>
      </c>
      <c r="G87" s="922">
        <v>0</v>
      </c>
      <c r="H87" s="922">
        <v>0</v>
      </c>
      <c r="I87" s="924">
        <v>0</v>
      </c>
      <c r="J87" s="202"/>
      <c r="K87" s="202"/>
      <c r="L87" s="202"/>
    </row>
    <row r="88" spans="1:12" ht="15" x14ac:dyDescent="0.4">
      <c r="A88" s="94">
        <f t="shared" si="1"/>
        <v>74</v>
      </c>
      <c r="B88" s="215" t="s">
        <v>75</v>
      </c>
      <c r="C88" s="923">
        <v>0</v>
      </c>
      <c r="D88" s="923">
        <v>0</v>
      </c>
      <c r="E88" s="923">
        <v>0</v>
      </c>
      <c r="F88" s="923">
        <v>0</v>
      </c>
      <c r="G88" s="923">
        <v>0</v>
      </c>
      <c r="H88" s="923">
        <v>0</v>
      </c>
      <c r="I88" s="925">
        <v>0</v>
      </c>
      <c r="J88" s="202"/>
      <c r="K88" s="202"/>
      <c r="L88" s="202"/>
    </row>
    <row r="89" spans="1:12" x14ac:dyDescent="0.25">
      <c r="A89" s="94">
        <f t="shared" si="1"/>
        <v>75</v>
      </c>
      <c r="B89" s="79" t="s">
        <v>198</v>
      </c>
      <c r="C89" s="924">
        <v>0</v>
      </c>
      <c r="D89" s="924">
        <v>0</v>
      </c>
      <c r="E89" s="924">
        <v>0</v>
      </c>
      <c r="F89" s="924">
        <v>0</v>
      </c>
      <c r="G89" s="924">
        <v>0</v>
      </c>
      <c r="H89" s="924">
        <v>0</v>
      </c>
      <c r="I89" s="924">
        <v>0</v>
      </c>
      <c r="J89" s="202"/>
      <c r="K89" s="202"/>
      <c r="L89" s="202"/>
    </row>
    <row r="90" spans="1:12" x14ac:dyDescent="0.25">
      <c r="A90" s="94">
        <f t="shared" si="1"/>
        <v>76</v>
      </c>
      <c r="B90" s="202"/>
      <c r="C90" s="202"/>
      <c r="D90" s="202"/>
      <c r="E90" s="202"/>
      <c r="F90" s="202"/>
      <c r="G90" s="202"/>
      <c r="H90" s="83"/>
      <c r="I90" s="202"/>
      <c r="J90" s="202"/>
      <c r="K90" s="202"/>
      <c r="L90" s="202"/>
    </row>
    <row r="91" spans="1:12" x14ac:dyDescent="0.25">
      <c r="A91" s="94">
        <f t="shared" si="1"/>
        <v>77</v>
      </c>
      <c r="B91" s="202"/>
      <c r="C91" s="202"/>
      <c r="D91" s="202"/>
      <c r="E91" s="202"/>
      <c r="F91" s="202"/>
      <c r="G91" s="202"/>
      <c r="H91" s="83" t="s">
        <v>527</v>
      </c>
      <c r="I91" s="922">
        <v>0</v>
      </c>
      <c r="J91" s="202"/>
      <c r="K91" s="202"/>
      <c r="L91" s="202"/>
    </row>
    <row r="92" spans="1:12" x14ac:dyDescent="0.25">
      <c r="A92" s="208"/>
      <c r="B92" s="202"/>
      <c r="C92" s="202"/>
      <c r="D92" s="202"/>
      <c r="E92" s="202"/>
      <c r="F92" s="202"/>
      <c r="G92" s="202"/>
      <c r="H92" s="202"/>
      <c r="I92" s="202"/>
      <c r="J92" s="202"/>
      <c r="K92" s="202"/>
      <c r="L92" s="202"/>
    </row>
    <row r="93" spans="1:12" x14ac:dyDescent="0.25">
      <c r="A93" s="94"/>
      <c r="B93" s="38" t="s">
        <v>382</v>
      </c>
      <c r="C93" s="208"/>
      <c r="D93" s="208"/>
      <c r="E93" s="208"/>
      <c r="F93" s="208"/>
      <c r="G93" s="208"/>
      <c r="H93" s="208"/>
      <c r="I93" s="206"/>
      <c r="J93" s="208"/>
      <c r="K93" s="208"/>
      <c r="L93" s="202"/>
    </row>
    <row r="94" spans="1:12" x14ac:dyDescent="0.25">
      <c r="A94" s="94"/>
      <c r="B94" s="442" t="s">
        <v>2342</v>
      </c>
      <c r="C94" s="208"/>
      <c r="D94" s="208"/>
      <c r="E94" s="208"/>
      <c r="F94" s="208"/>
      <c r="G94" s="208"/>
      <c r="H94" s="208"/>
      <c r="I94" s="208"/>
      <c r="J94" s="208"/>
      <c r="K94" s="208"/>
      <c r="L94" s="202"/>
    </row>
    <row r="95" spans="1:12" x14ac:dyDescent="0.25">
      <c r="A95" s="94"/>
      <c r="B95" s="442" t="s">
        <v>2322</v>
      </c>
      <c r="C95" s="208"/>
      <c r="D95" s="208"/>
      <c r="E95" s="208"/>
      <c r="F95" s="208"/>
      <c r="G95" s="208"/>
      <c r="H95" s="208"/>
      <c r="I95" s="208"/>
      <c r="J95" s="208"/>
      <c r="K95" s="208"/>
      <c r="L95" s="202"/>
    </row>
    <row r="96" spans="1:12" x14ac:dyDescent="0.25">
      <c r="A96" s="94"/>
      <c r="B96" s="1055" t="s">
        <v>2337</v>
      </c>
      <c r="C96" s="208"/>
      <c r="D96" s="208"/>
      <c r="E96" s="208"/>
      <c r="F96" s="208"/>
      <c r="G96" s="208"/>
      <c r="H96" s="208"/>
      <c r="I96" s="208"/>
      <c r="J96" s="208"/>
      <c r="K96" s="208"/>
      <c r="L96" s="202"/>
    </row>
    <row r="97" spans="1:12" x14ac:dyDescent="0.25">
      <c r="A97" s="94"/>
      <c r="B97" s="40" t="s">
        <v>964</v>
      </c>
      <c r="C97" s="208"/>
      <c r="D97" s="208"/>
      <c r="E97" s="208"/>
      <c r="F97" s="208"/>
      <c r="G97" s="208"/>
      <c r="H97" s="208"/>
      <c r="I97" s="208"/>
      <c r="J97" s="208"/>
      <c r="K97" s="208"/>
      <c r="L97" s="202"/>
    </row>
    <row r="98" spans="1:12" x14ac:dyDescent="0.25">
      <c r="A98" s="94"/>
      <c r="B98" s="880" t="s">
        <v>2323</v>
      </c>
      <c r="C98" s="208"/>
      <c r="D98" s="208"/>
      <c r="E98" s="208"/>
      <c r="F98" s="208"/>
      <c r="G98" s="208"/>
      <c r="H98" s="208"/>
      <c r="I98" s="208"/>
      <c r="J98" s="208"/>
      <c r="K98" s="208"/>
      <c r="L98" s="202"/>
    </row>
    <row r="99" spans="1:12" x14ac:dyDescent="0.25">
      <c r="A99" s="94"/>
      <c r="B99" s="442" t="s">
        <v>2324</v>
      </c>
      <c r="C99" s="208"/>
      <c r="D99" s="208"/>
      <c r="E99" s="208"/>
      <c r="F99" s="208"/>
      <c r="G99" s="208"/>
      <c r="H99" s="208"/>
      <c r="I99" s="208"/>
      <c r="J99" s="208"/>
      <c r="K99" s="208"/>
      <c r="L99" s="202"/>
    </row>
    <row r="100" spans="1:12" x14ac:dyDescent="0.25">
      <c r="A100" s="94"/>
      <c r="B100" s="423" t="s">
        <v>1721</v>
      </c>
      <c r="C100" s="208"/>
      <c r="D100" s="208"/>
      <c r="E100" s="208"/>
      <c r="F100" s="208"/>
      <c r="G100" s="208"/>
      <c r="H100" s="208"/>
      <c r="I100" s="208"/>
      <c r="J100" s="208"/>
      <c r="K100" s="208"/>
      <c r="L100" s="202"/>
    </row>
    <row r="101" spans="1:12" x14ac:dyDescent="0.25">
      <c r="A101" s="94"/>
      <c r="B101" s="885" t="s">
        <v>2326</v>
      </c>
      <c r="C101" s="208"/>
      <c r="D101" s="208"/>
      <c r="E101" s="208"/>
      <c r="F101" s="208"/>
      <c r="G101" s="208"/>
      <c r="H101" s="208"/>
      <c r="I101" s="208"/>
      <c r="J101" s="208"/>
      <c r="K101" s="208"/>
      <c r="L101" s="202"/>
    </row>
    <row r="102" spans="1:12" x14ac:dyDescent="0.25">
      <c r="A102" s="94"/>
      <c r="B102" s="975" t="s">
        <v>2338</v>
      </c>
      <c r="C102" s="208"/>
      <c r="D102" s="208"/>
      <c r="E102" s="208"/>
      <c r="F102" s="208"/>
      <c r="G102" s="208"/>
      <c r="H102" s="208"/>
      <c r="I102" s="208"/>
      <c r="J102" s="208"/>
      <c r="K102" s="208"/>
      <c r="L102" s="202"/>
    </row>
    <row r="103" spans="1:12" x14ac:dyDescent="0.25">
      <c r="A103" s="94"/>
      <c r="B103" s="975" t="s">
        <v>2325</v>
      </c>
      <c r="C103" s="208"/>
      <c r="D103" s="208"/>
      <c r="E103" s="208"/>
      <c r="F103" s="208"/>
      <c r="G103" s="208"/>
      <c r="H103" s="208"/>
      <c r="I103" s="208"/>
      <c r="J103" s="208"/>
      <c r="K103" s="208"/>
      <c r="L103" s="202"/>
    </row>
    <row r="104" spans="1:12" x14ac:dyDescent="0.25">
      <c r="A104" s="94"/>
      <c r="B104" s="885" t="s">
        <v>2327</v>
      </c>
      <c r="C104" s="886"/>
      <c r="D104" s="208"/>
      <c r="E104" s="208"/>
      <c r="F104" s="208"/>
      <c r="G104" s="208"/>
      <c r="H104" s="208"/>
      <c r="I104" s="208"/>
      <c r="J104" s="208"/>
      <c r="K104" s="208"/>
      <c r="L104" s="202"/>
    </row>
    <row r="105" spans="1:12" x14ac:dyDescent="0.25">
      <c r="A105" s="94"/>
      <c r="B105" s="885" t="s">
        <v>2339</v>
      </c>
      <c r="C105" s="886"/>
      <c r="D105" s="208"/>
      <c r="E105" s="208"/>
      <c r="F105" s="208"/>
      <c r="G105" s="208"/>
      <c r="H105" s="208"/>
      <c r="I105" s="208"/>
      <c r="J105" s="208"/>
      <c r="K105" s="208"/>
      <c r="L105" s="202"/>
    </row>
    <row r="106" spans="1:12" x14ac:dyDescent="0.25">
      <c r="A106" s="94"/>
      <c r="B106" s="442" t="s">
        <v>2328</v>
      </c>
      <c r="C106" s="208"/>
      <c r="D106" s="208"/>
      <c r="E106" s="208"/>
      <c r="F106" s="208"/>
      <c r="G106" s="208"/>
      <c r="H106" s="208"/>
      <c r="I106" s="208"/>
      <c r="J106" s="13"/>
      <c r="K106" s="208"/>
      <c r="L106" s="202"/>
    </row>
    <row r="107" spans="1:12" x14ac:dyDescent="0.25">
      <c r="A107" s="94"/>
      <c r="B107" s="442" t="s">
        <v>2329</v>
      </c>
      <c r="C107" s="208"/>
      <c r="D107" s="208"/>
      <c r="E107" s="208"/>
      <c r="F107" s="208"/>
      <c r="G107" s="208"/>
      <c r="H107" s="208"/>
      <c r="I107" s="208"/>
      <c r="J107" s="208"/>
      <c r="K107" s="208"/>
      <c r="L107" s="202"/>
    </row>
    <row r="108" spans="1:12" x14ac:dyDescent="0.25">
      <c r="A108" s="94"/>
      <c r="B108" s="442" t="s">
        <v>2330</v>
      </c>
      <c r="C108" s="208"/>
      <c r="D108" s="208"/>
      <c r="E108" s="208"/>
      <c r="F108" s="208"/>
      <c r="G108" s="208"/>
      <c r="H108" s="208"/>
      <c r="I108" s="208"/>
      <c r="J108" s="208"/>
      <c r="K108" s="208"/>
      <c r="L108" s="202"/>
    </row>
    <row r="109" spans="1:12" x14ac:dyDescent="0.25">
      <c r="A109" s="94"/>
      <c r="B109" s="333" t="s">
        <v>1064</v>
      </c>
      <c r="C109" s="208"/>
      <c r="D109" s="208"/>
      <c r="E109" s="208"/>
      <c r="F109" s="208"/>
      <c r="G109" s="208"/>
      <c r="H109" s="208"/>
      <c r="I109" s="208"/>
      <c r="J109" s="208"/>
      <c r="K109" s="208"/>
      <c r="L109" s="202"/>
    </row>
    <row r="110" spans="1:12" x14ac:dyDescent="0.25">
      <c r="A110" s="94"/>
      <c r="B110" s="44" t="s">
        <v>233</v>
      </c>
      <c r="C110" s="202"/>
      <c r="D110" s="202"/>
      <c r="E110" s="202"/>
      <c r="F110" s="202"/>
      <c r="G110" s="202"/>
      <c r="H110" s="202"/>
      <c r="I110" s="202"/>
      <c r="J110" s="202"/>
      <c r="K110" s="202"/>
      <c r="L110" s="202"/>
    </row>
    <row r="111" spans="1:12" x14ac:dyDescent="0.25">
      <c r="A111" s="94"/>
      <c r="B111" s="447" t="s">
        <v>1496</v>
      </c>
      <c r="C111" s="202"/>
      <c r="D111" s="202"/>
      <c r="E111" s="202"/>
      <c r="F111" s="202"/>
      <c r="G111" s="202"/>
      <c r="H111" s="202"/>
      <c r="I111" s="202"/>
      <c r="J111" s="202"/>
      <c r="K111" s="202"/>
      <c r="L111" s="202"/>
    </row>
    <row r="112" spans="1:12" x14ac:dyDescent="0.25">
      <c r="A112" s="94"/>
      <c r="B112" s="468" t="s">
        <v>1497</v>
      </c>
      <c r="C112" s="202"/>
      <c r="D112" s="202"/>
      <c r="E112" s="202"/>
      <c r="F112" s="202"/>
      <c r="G112" s="202"/>
      <c r="H112" s="202"/>
      <c r="I112" s="202"/>
      <c r="J112" s="202"/>
      <c r="K112" s="202"/>
      <c r="L112" s="202"/>
    </row>
    <row r="113" spans="1:12" x14ac:dyDescent="0.25">
      <c r="A113" s="94"/>
      <c r="B113" s="130" t="str">
        <f>"a Partial Year True Up, use the Partial Year TRR Attribution Allocation Factors on Lines "&amp;A54&amp;" to "&amp;A65&amp;" for each month of Partial Year True Up."</f>
        <v>a Partial Year True Up, use the Partial Year TRR Attribution Allocation Factors on Lines 40 to 51 for each month of Partial Year True Up.</v>
      </c>
      <c r="C113" s="202"/>
      <c r="D113" s="202"/>
      <c r="E113" s="202"/>
      <c r="F113" s="202"/>
      <c r="G113" s="202"/>
      <c r="H113" s="202"/>
      <c r="I113" s="202"/>
      <c r="J113" s="202"/>
      <c r="K113" s="202"/>
      <c r="L113" s="202"/>
    </row>
    <row r="114" spans="1:12" x14ac:dyDescent="0.25">
      <c r="A114" s="94"/>
      <c r="B114" s="130" t="str">
        <f>"Only enter in the Prior Year, Lines "&amp;A25&amp;" to "&amp;A36&amp;", or portion of year formula was in effect in case of Partial Year True Up."</f>
        <v>Only enter in the Prior Year, Lines 12 to 23, or portion of year formula was in effect in case of Partial Year True Up.</v>
      </c>
      <c r="C114" s="202"/>
      <c r="D114" s="202"/>
      <c r="E114" s="202"/>
      <c r="F114" s="202"/>
      <c r="G114" s="202"/>
      <c r="H114" s="202"/>
      <c r="I114" s="202"/>
      <c r="J114" s="202"/>
      <c r="K114" s="202"/>
      <c r="L114" s="202"/>
    </row>
    <row r="115" spans="1:12" x14ac:dyDescent="0.25">
      <c r="A115" s="94"/>
      <c r="B115" s="561" t="s">
        <v>1838</v>
      </c>
      <c r="C115" s="208"/>
      <c r="D115" s="208"/>
      <c r="E115" s="208"/>
      <c r="F115" s="208"/>
      <c r="G115" s="208"/>
      <c r="H115" s="208"/>
      <c r="I115" s="208"/>
      <c r="J115" s="208"/>
      <c r="K115" s="208"/>
      <c r="L115" s="202"/>
    </row>
    <row r="116" spans="1:12" x14ac:dyDescent="0.25">
      <c r="A116" s="94"/>
      <c r="B116" s="127" t="s">
        <v>1065</v>
      </c>
      <c r="C116" s="208"/>
      <c r="D116" s="208"/>
      <c r="E116" s="208"/>
      <c r="F116" s="208"/>
      <c r="G116" s="208"/>
      <c r="H116" s="208"/>
      <c r="I116" s="208"/>
      <c r="J116" s="208"/>
      <c r="K116" s="208"/>
      <c r="L116" s="202"/>
    </row>
    <row r="117" spans="1:12" x14ac:dyDescent="0.25">
      <c r="A117" s="94"/>
      <c r="B117" s="130" t="str">
        <f>"as shown on Lines "&amp;A77&amp;" to "&amp;A88&amp;", Column 1."</f>
        <v>as shown on Lines 63 to 74, Column 1.</v>
      </c>
      <c r="C117" s="208"/>
      <c r="D117" s="208"/>
      <c r="E117" s="208"/>
      <c r="F117" s="208"/>
      <c r="G117" s="208"/>
      <c r="H117" s="208"/>
      <c r="I117" s="208"/>
      <c r="J117" s="208"/>
      <c r="K117" s="208"/>
      <c r="L117" s="202"/>
    </row>
    <row r="118" spans="1:12" x14ac:dyDescent="0.25">
      <c r="A118" s="94"/>
      <c r="B118" s="468" t="s">
        <v>2481</v>
      </c>
      <c r="C118" s="208"/>
      <c r="D118" s="208"/>
      <c r="E118" s="208"/>
      <c r="F118" s="208"/>
      <c r="G118" s="208"/>
      <c r="H118" s="208"/>
      <c r="I118" s="208"/>
      <c r="J118" s="208"/>
      <c r="K118" s="208"/>
      <c r="L118" s="202"/>
    </row>
    <row r="119" spans="1:12" x14ac:dyDescent="0.25">
      <c r="A119" s="94"/>
      <c r="B119" s="468" t="s">
        <v>1623</v>
      </c>
      <c r="C119" s="208"/>
      <c r="D119" s="208"/>
      <c r="E119" s="208"/>
      <c r="F119" s="208"/>
      <c r="G119" s="208"/>
      <c r="H119" s="208"/>
      <c r="I119" s="208"/>
      <c r="J119" s="208"/>
      <c r="K119" s="208"/>
      <c r="L119" s="202"/>
    </row>
    <row r="120" spans="1:12" x14ac:dyDescent="0.25">
      <c r="A120" s="94"/>
      <c r="B120" s="442" t="s">
        <v>2331</v>
      </c>
      <c r="C120" s="208"/>
      <c r="D120" s="208"/>
      <c r="E120" s="208"/>
      <c r="F120" s="208"/>
      <c r="G120" s="208"/>
      <c r="H120" s="208"/>
      <c r="I120" s="208"/>
      <c r="J120" s="208"/>
      <c r="K120" s="208"/>
      <c r="L120" s="202"/>
    </row>
    <row r="121" spans="1:12" x14ac:dyDescent="0.25">
      <c r="A121" s="94"/>
      <c r="B121" s="880" t="s">
        <v>2336</v>
      </c>
      <c r="C121" s="208"/>
      <c r="D121" s="208"/>
      <c r="E121" s="208"/>
      <c r="F121" s="208"/>
      <c r="G121" s="208"/>
      <c r="H121" s="208"/>
      <c r="I121" s="208"/>
      <c r="J121" s="208"/>
      <c r="K121" s="208"/>
      <c r="L121" s="202"/>
    </row>
    <row r="122" spans="1:12" x14ac:dyDescent="0.25">
      <c r="A122" s="94"/>
      <c r="B122" s="40" t="s">
        <v>1066</v>
      </c>
      <c r="C122" s="208"/>
      <c r="D122" s="208"/>
      <c r="E122" s="208"/>
      <c r="F122" s="208"/>
      <c r="G122" s="208"/>
      <c r="H122" s="208"/>
      <c r="I122" s="208"/>
      <c r="J122" s="208"/>
      <c r="K122" s="208"/>
      <c r="L122" s="202"/>
    </row>
    <row r="123" spans="1:12" x14ac:dyDescent="0.25">
      <c r="A123" s="94"/>
      <c r="B123" s="884" t="s">
        <v>2332</v>
      </c>
      <c r="C123" s="208"/>
      <c r="D123" s="208"/>
      <c r="E123" s="208"/>
      <c r="F123" s="208"/>
      <c r="G123" s="208"/>
      <c r="H123" s="208"/>
      <c r="J123" s="208"/>
      <c r="K123" s="208"/>
      <c r="L123" s="202"/>
    </row>
    <row r="124" spans="1:12" x14ac:dyDescent="0.25">
      <c r="A124" s="208"/>
      <c r="B124" s="442" t="s">
        <v>2333</v>
      </c>
      <c r="C124" s="208"/>
      <c r="D124" s="208"/>
      <c r="E124" s="208"/>
      <c r="F124" s="208"/>
      <c r="G124" s="208"/>
      <c r="H124" s="208"/>
      <c r="I124" s="208"/>
      <c r="J124" s="208"/>
      <c r="K124" s="208"/>
      <c r="L124" s="202"/>
    </row>
    <row r="125" spans="1:12" x14ac:dyDescent="0.25">
      <c r="A125" s="208"/>
      <c r="B125" s="442" t="s">
        <v>2334</v>
      </c>
      <c r="C125" s="208"/>
      <c r="D125" s="208"/>
      <c r="E125" s="208"/>
      <c r="F125" s="208"/>
      <c r="G125" s="208"/>
      <c r="H125" s="208"/>
      <c r="I125" s="208"/>
      <c r="J125" s="208"/>
      <c r="K125" s="208"/>
      <c r="L125" s="202"/>
    </row>
    <row r="126" spans="1:12" x14ac:dyDescent="0.25">
      <c r="A126" s="208"/>
      <c r="B126" s="333" t="s">
        <v>531</v>
      </c>
      <c r="C126" s="208"/>
      <c r="D126" s="208"/>
      <c r="E126" s="208"/>
      <c r="F126" s="208"/>
      <c r="G126" s="208"/>
      <c r="H126" s="208"/>
      <c r="I126" s="208"/>
      <c r="J126" s="208"/>
      <c r="K126" s="208"/>
      <c r="L126" s="202"/>
    </row>
    <row r="127" spans="1:12" x14ac:dyDescent="0.25">
      <c r="A127" s="208"/>
      <c r="B127" s="880" t="s">
        <v>1891</v>
      </c>
      <c r="C127" s="208"/>
      <c r="D127" s="208"/>
      <c r="E127" s="208"/>
      <c r="F127" s="208"/>
      <c r="G127" s="208"/>
      <c r="H127" s="208"/>
      <c r="I127" s="208"/>
      <c r="J127" s="208"/>
      <c r="K127" s="208"/>
      <c r="L127" s="202"/>
    </row>
    <row r="128" spans="1:12" x14ac:dyDescent="0.25">
      <c r="A128" s="208"/>
      <c r="B128" s="880" t="s">
        <v>1892</v>
      </c>
      <c r="C128" s="208"/>
      <c r="D128" s="208"/>
      <c r="E128" s="208"/>
      <c r="F128" s="208"/>
      <c r="G128" s="208"/>
      <c r="H128" s="208"/>
      <c r="I128" s="208"/>
      <c r="J128" s="208"/>
      <c r="K128" s="208"/>
      <c r="L128" s="202"/>
    </row>
    <row r="129" spans="1:12" x14ac:dyDescent="0.25">
      <c r="A129" s="208"/>
      <c r="B129" s="442" t="s">
        <v>2335</v>
      </c>
      <c r="C129" s="208"/>
      <c r="D129" s="208"/>
      <c r="E129" s="208"/>
      <c r="F129" s="208"/>
      <c r="G129" s="208"/>
      <c r="H129" s="208"/>
      <c r="I129" s="208"/>
      <c r="J129" s="208"/>
      <c r="K129" s="208"/>
      <c r="L129" s="202"/>
    </row>
    <row r="130" spans="1:12" x14ac:dyDescent="0.25">
      <c r="A130" s="208"/>
      <c r="B130" s="880" t="s">
        <v>2061</v>
      </c>
      <c r="C130" s="208"/>
      <c r="D130" s="208"/>
      <c r="E130" s="208"/>
      <c r="F130" s="208"/>
      <c r="G130" s="208"/>
      <c r="H130" s="208"/>
      <c r="I130" s="208"/>
      <c r="J130" s="208"/>
      <c r="K130" s="208"/>
      <c r="L130" s="202"/>
    </row>
    <row r="131" spans="1:12" x14ac:dyDescent="0.25">
      <c r="A131" s="208"/>
      <c r="B131" s="880" t="s">
        <v>2060</v>
      </c>
      <c r="C131" s="208"/>
      <c r="D131" s="208"/>
      <c r="E131" s="208"/>
      <c r="F131" s="208"/>
      <c r="G131" s="208"/>
      <c r="H131" s="208"/>
      <c r="I131" s="208"/>
      <c r="J131" s="208"/>
      <c r="K131" s="208"/>
      <c r="L131" s="202"/>
    </row>
    <row r="132" spans="1:12" x14ac:dyDescent="0.25">
      <c r="A132" s="208"/>
      <c r="B132" s="880" t="s">
        <v>2059</v>
      </c>
      <c r="C132" s="208"/>
      <c r="D132" s="208"/>
      <c r="E132" s="208"/>
      <c r="F132" s="208"/>
      <c r="G132" s="208"/>
      <c r="H132" s="208"/>
      <c r="I132" s="208"/>
      <c r="J132" s="208"/>
      <c r="K132" s="208"/>
      <c r="L132" s="202"/>
    </row>
    <row r="133" spans="1:12" x14ac:dyDescent="0.25">
      <c r="A133" s="208"/>
      <c r="B133" s="333" t="s">
        <v>965</v>
      </c>
      <c r="C133" s="208"/>
      <c r="D133" s="208"/>
      <c r="E133" s="208"/>
      <c r="F133" s="208"/>
      <c r="G133" s="208"/>
      <c r="H133" s="208"/>
      <c r="I133" s="208"/>
      <c r="J133" s="208"/>
      <c r="K133" s="208"/>
      <c r="L133" s="202"/>
    </row>
    <row r="134" spans="1:12" x14ac:dyDescent="0.25">
      <c r="A134" s="208"/>
      <c r="C134" s="202"/>
      <c r="D134" s="202"/>
      <c r="E134" s="202"/>
      <c r="F134" s="202"/>
      <c r="G134" s="202"/>
      <c r="H134" s="202"/>
      <c r="I134" s="202"/>
      <c r="J134" s="202"/>
      <c r="K134" s="202"/>
      <c r="L134" s="202"/>
    </row>
    <row r="135" spans="1:12" x14ac:dyDescent="0.25">
      <c r="A135" s="208"/>
      <c r="B135" s="202"/>
      <c r="C135" s="202"/>
      <c r="D135" s="202"/>
      <c r="E135" s="202"/>
      <c r="F135" s="202"/>
      <c r="G135" s="202"/>
      <c r="H135" s="202"/>
      <c r="I135" s="202"/>
      <c r="J135" s="202"/>
      <c r="K135" s="202"/>
      <c r="L135" s="202"/>
    </row>
    <row r="136" spans="1:12" x14ac:dyDescent="0.25">
      <c r="A136" s="202"/>
      <c r="B136" s="202"/>
      <c r="C136" s="202"/>
      <c r="D136" s="202"/>
      <c r="E136" s="202"/>
      <c r="F136" s="202"/>
      <c r="G136" s="202"/>
      <c r="H136" s="202"/>
      <c r="I136" s="202"/>
      <c r="J136" s="202"/>
      <c r="K136" s="202"/>
      <c r="L136" s="202"/>
    </row>
    <row r="137" spans="1:12" x14ac:dyDescent="0.25">
      <c r="A137" s="202"/>
      <c r="B137" s="202"/>
      <c r="C137" s="202"/>
      <c r="D137" s="202"/>
      <c r="E137" s="202"/>
      <c r="F137" s="202"/>
      <c r="G137" s="202"/>
      <c r="H137" s="202"/>
      <c r="I137" s="202"/>
      <c r="J137" s="202"/>
      <c r="K137" s="202"/>
      <c r="L137" s="202"/>
    </row>
    <row r="138" spans="1:12" x14ac:dyDescent="0.25">
      <c r="A138" s="202"/>
      <c r="B138" s="202"/>
      <c r="C138" s="202"/>
      <c r="D138" s="202"/>
      <c r="E138" s="202"/>
      <c r="F138" s="202"/>
      <c r="G138" s="202"/>
      <c r="H138" s="202"/>
      <c r="I138" s="202"/>
      <c r="J138" s="202"/>
      <c r="K138" s="202"/>
      <c r="L138" s="202"/>
    </row>
    <row r="139" spans="1:12" x14ac:dyDescent="0.25">
      <c r="A139" s="202"/>
      <c r="B139" s="202"/>
      <c r="C139" s="202"/>
      <c r="D139" s="202"/>
      <c r="E139" s="202"/>
      <c r="F139" s="202"/>
      <c r="G139" s="202"/>
      <c r="H139" s="202"/>
      <c r="I139" s="202"/>
      <c r="J139" s="202"/>
      <c r="K139" s="202"/>
      <c r="L139" s="202"/>
    </row>
    <row r="140" spans="1:12" x14ac:dyDescent="0.25">
      <c r="A140" s="202"/>
      <c r="B140" s="202"/>
      <c r="C140" s="202"/>
      <c r="D140" s="202"/>
      <c r="E140" s="202"/>
      <c r="F140" s="202"/>
      <c r="G140" s="202"/>
      <c r="H140" s="202"/>
      <c r="I140" s="202"/>
      <c r="J140" s="202"/>
      <c r="K140" s="202"/>
      <c r="L140" s="202"/>
    </row>
    <row r="141" spans="1:12" x14ac:dyDescent="0.25">
      <c r="A141" s="202"/>
      <c r="B141" s="202"/>
      <c r="C141" s="202"/>
      <c r="D141" s="202"/>
      <c r="E141" s="202"/>
      <c r="F141" s="202"/>
      <c r="G141" s="202"/>
      <c r="H141" s="202"/>
      <c r="I141" s="202"/>
      <c r="J141" s="202"/>
      <c r="K141" s="202"/>
      <c r="L141" s="202"/>
    </row>
    <row r="142" spans="1:12" x14ac:dyDescent="0.25">
      <c r="A142" s="202"/>
      <c r="B142" s="202"/>
      <c r="C142" s="202"/>
      <c r="D142" s="202"/>
      <c r="E142" s="202"/>
      <c r="F142" s="202"/>
      <c r="G142" s="202"/>
      <c r="H142" s="202"/>
      <c r="I142" s="202"/>
      <c r="J142" s="202"/>
      <c r="K142" s="202"/>
      <c r="L142" s="202"/>
    </row>
    <row r="143" spans="1:12" x14ac:dyDescent="0.25">
      <c r="A143" s="202"/>
      <c r="B143" s="202"/>
      <c r="C143" s="202"/>
      <c r="D143" s="202"/>
      <c r="E143" s="202"/>
      <c r="F143" s="202"/>
      <c r="G143" s="202"/>
      <c r="H143" s="202"/>
      <c r="I143" s="202"/>
      <c r="J143" s="202"/>
      <c r="K143" s="202"/>
      <c r="L143" s="202"/>
    </row>
    <row r="144" spans="1:12" x14ac:dyDescent="0.25">
      <c r="A144" s="202"/>
      <c r="B144" s="202"/>
      <c r="C144" s="202"/>
      <c r="D144" s="202"/>
      <c r="E144" s="202"/>
      <c r="F144" s="202"/>
      <c r="G144" s="202"/>
      <c r="H144" s="202"/>
      <c r="I144" s="202"/>
      <c r="J144" s="202"/>
      <c r="K144" s="202"/>
      <c r="L144" s="202"/>
    </row>
    <row r="145" spans="1:12" x14ac:dyDescent="0.25">
      <c r="A145" s="202"/>
      <c r="B145" s="202"/>
      <c r="C145" s="202"/>
      <c r="D145" s="202"/>
      <c r="E145" s="202"/>
      <c r="F145" s="202"/>
      <c r="G145" s="202"/>
      <c r="H145" s="202"/>
      <c r="I145" s="202"/>
      <c r="J145" s="202"/>
      <c r="K145" s="202"/>
      <c r="L145" s="202"/>
    </row>
    <row r="146" spans="1:12" x14ac:dyDescent="0.25">
      <c r="A146" s="202"/>
      <c r="B146" s="202"/>
      <c r="C146" s="202"/>
      <c r="D146" s="202"/>
      <c r="E146" s="202"/>
      <c r="F146" s="202"/>
      <c r="G146" s="202"/>
      <c r="H146" s="202"/>
      <c r="I146" s="202"/>
      <c r="J146" s="202"/>
      <c r="K146" s="202"/>
      <c r="L146" s="202"/>
    </row>
    <row r="147" spans="1:12" x14ac:dyDescent="0.25">
      <c r="A147" s="202"/>
      <c r="B147" s="202"/>
      <c r="C147" s="202"/>
      <c r="D147" s="202"/>
      <c r="E147" s="202"/>
      <c r="F147" s="202"/>
      <c r="G147" s="202"/>
      <c r="H147" s="202"/>
      <c r="I147" s="202"/>
      <c r="J147" s="202"/>
      <c r="K147" s="202"/>
      <c r="L147" s="202"/>
    </row>
    <row r="148" spans="1:12" x14ac:dyDescent="0.25">
      <c r="A148" s="202"/>
      <c r="B148" s="202"/>
      <c r="C148" s="202"/>
      <c r="D148" s="202"/>
      <c r="E148" s="202"/>
      <c r="F148" s="202"/>
      <c r="G148" s="202"/>
      <c r="H148" s="202"/>
      <c r="I148" s="202"/>
      <c r="J148" s="202"/>
      <c r="K148" s="202"/>
      <c r="L148" s="202"/>
    </row>
    <row r="149" spans="1:12" x14ac:dyDescent="0.25">
      <c r="A149" s="202"/>
      <c r="B149" s="202"/>
      <c r="C149" s="202"/>
      <c r="D149" s="202"/>
      <c r="E149" s="202"/>
      <c r="F149" s="202"/>
      <c r="G149" s="202"/>
      <c r="H149" s="202"/>
      <c r="I149" s="202"/>
      <c r="J149" s="202"/>
      <c r="K149" s="202"/>
      <c r="L149" s="202"/>
    </row>
    <row r="150" spans="1:12" x14ac:dyDescent="0.25">
      <c r="A150" s="202"/>
      <c r="B150" s="202"/>
      <c r="C150" s="202"/>
      <c r="D150" s="202"/>
      <c r="E150" s="202"/>
      <c r="F150" s="202"/>
      <c r="G150" s="202"/>
      <c r="H150" s="202"/>
      <c r="I150" s="202"/>
      <c r="J150" s="202"/>
      <c r="K150" s="202"/>
      <c r="L150" s="202"/>
    </row>
    <row r="151" spans="1:12" x14ac:dyDescent="0.25">
      <c r="A151" s="202"/>
      <c r="B151" s="202"/>
      <c r="C151" s="202"/>
      <c r="D151" s="202"/>
      <c r="E151" s="202"/>
      <c r="F151" s="202"/>
      <c r="G151" s="202"/>
      <c r="H151" s="202"/>
      <c r="I151" s="202"/>
      <c r="J151" s="202"/>
      <c r="K151" s="202"/>
      <c r="L151" s="202"/>
    </row>
    <row r="152" spans="1:12" x14ac:dyDescent="0.25">
      <c r="A152" s="202"/>
      <c r="B152" s="202"/>
      <c r="C152" s="202"/>
      <c r="D152" s="202"/>
      <c r="E152" s="202"/>
      <c r="F152" s="202"/>
      <c r="G152" s="202"/>
      <c r="H152" s="202"/>
      <c r="I152" s="202"/>
      <c r="J152" s="202"/>
      <c r="K152" s="202"/>
      <c r="L152" s="202"/>
    </row>
    <row r="153" spans="1:12" x14ac:dyDescent="0.25">
      <c r="A153" s="202"/>
      <c r="B153" s="202"/>
      <c r="C153" s="202"/>
      <c r="D153" s="202"/>
      <c r="E153" s="202"/>
      <c r="F153" s="202"/>
      <c r="G153" s="202"/>
      <c r="H153" s="202"/>
      <c r="I153" s="202"/>
      <c r="J153" s="202"/>
      <c r="K153" s="202"/>
      <c r="L153" s="202"/>
    </row>
    <row r="154" spans="1:12" x14ac:dyDescent="0.25">
      <c r="A154" s="202"/>
      <c r="B154" s="202"/>
      <c r="C154" s="202"/>
      <c r="D154" s="202"/>
      <c r="E154" s="202"/>
      <c r="F154" s="202"/>
      <c r="G154" s="202"/>
      <c r="H154" s="202"/>
      <c r="I154" s="202"/>
      <c r="J154" s="202"/>
      <c r="K154" s="202"/>
      <c r="L154" s="202"/>
    </row>
    <row r="155" spans="1:12" x14ac:dyDescent="0.25">
      <c r="A155" s="202"/>
      <c r="B155" s="202"/>
      <c r="C155" s="202"/>
      <c r="D155" s="202"/>
      <c r="E155" s="202"/>
      <c r="F155" s="202"/>
      <c r="G155" s="202"/>
      <c r="H155" s="202"/>
      <c r="I155" s="202"/>
      <c r="J155" s="202"/>
      <c r="K155" s="202"/>
      <c r="L155" s="202"/>
    </row>
    <row r="156" spans="1:12" x14ac:dyDescent="0.25">
      <c r="A156" s="202"/>
      <c r="B156" s="202"/>
      <c r="C156" s="202"/>
      <c r="D156" s="202"/>
      <c r="E156" s="202"/>
      <c r="F156" s="202"/>
      <c r="G156" s="202"/>
      <c r="H156" s="202"/>
      <c r="I156" s="202"/>
      <c r="J156" s="202"/>
      <c r="K156" s="202"/>
      <c r="L156" s="202"/>
    </row>
    <row r="157" spans="1:12" x14ac:dyDescent="0.25">
      <c r="A157" s="202"/>
      <c r="B157" s="202"/>
      <c r="C157" s="202"/>
      <c r="D157" s="202"/>
      <c r="E157" s="202"/>
      <c r="F157" s="202"/>
      <c r="G157" s="202"/>
      <c r="H157" s="202"/>
      <c r="I157" s="202"/>
      <c r="J157" s="202"/>
      <c r="K157" s="202"/>
      <c r="L157" s="202"/>
    </row>
    <row r="158" spans="1:12" x14ac:dyDescent="0.25">
      <c r="A158" s="202"/>
      <c r="B158" s="202"/>
      <c r="C158" s="202"/>
      <c r="D158" s="202"/>
      <c r="E158" s="202"/>
      <c r="F158" s="202"/>
      <c r="G158" s="202"/>
      <c r="H158" s="202"/>
      <c r="I158" s="202"/>
      <c r="J158" s="202"/>
      <c r="K158" s="202"/>
      <c r="L158" s="202"/>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2" manualBreakCount="2">
    <brk id="50" max="16383" man="1"/>
    <brk id="9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71"/>
  <sheetViews>
    <sheetView zoomScale="90" zoomScaleNormal="90" workbookViewId="0"/>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1689</v>
      </c>
    </row>
    <row r="2" spans="1:10" x14ac:dyDescent="0.25">
      <c r="H2" s="13"/>
    </row>
    <row r="3" spans="1:10" x14ac:dyDescent="0.25">
      <c r="B3" s="75" t="s">
        <v>1490</v>
      </c>
    </row>
    <row r="4" spans="1:10" x14ac:dyDescent="0.25">
      <c r="B4" s="63"/>
      <c r="F4" s="2" t="s">
        <v>155</v>
      </c>
      <c r="G4" s="2"/>
      <c r="H4" s="2" t="s">
        <v>170</v>
      </c>
    </row>
    <row r="5" spans="1:10" x14ac:dyDescent="0.25">
      <c r="A5" s="46" t="s">
        <v>322</v>
      </c>
      <c r="B5" s="15"/>
      <c r="C5" s="44" t="s">
        <v>153</v>
      </c>
      <c r="F5" s="3" t="s">
        <v>154</v>
      </c>
      <c r="G5" s="3" t="s">
        <v>169</v>
      </c>
      <c r="H5" s="3" t="s">
        <v>171</v>
      </c>
      <c r="J5" s="3" t="s">
        <v>176</v>
      </c>
    </row>
    <row r="6" spans="1:10" x14ac:dyDescent="0.25">
      <c r="A6" s="94">
        <v>1</v>
      </c>
      <c r="B6" s="13"/>
      <c r="C6" s="93" t="s">
        <v>1049</v>
      </c>
      <c r="D6" s="13"/>
      <c r="E6" s="13"/>
      <c r="F6" s="13" t="s">
        <v>10</v>
      </c>
      <c r="G6" s="13"/>
      <c r="H6" s="93" t="str">
        <f>"6-PlantInService, Line "&amp;'6-PlantInService'!A42&amp;""</f>
        <v>6-PlantInService, Line 18</v>
      </c>
      <c r="I6" s="13"/>
      <c r="J6" s="924">
        <v>0</v>
      </c>
    </row>
    <row r="7" spans="1:10" x14ac:dyDescent="0.25">
      <c r="A7" s="94">
        <f>A6+1</f>
        <v>2</v>
      </c>
      <c r="B7" s="13"/>
      <c r="C7" s="93" t="s">
        <v>1205</v>
      </c>
      <c r="D7" s="13"/>
      <c r="E7" s="13"/>
      <c r="F7" s="13" t="s">
        <v>156</v>
      </c>
      <c r="G7" s="13"/>
      <c r="H7" s="93" t="str">
        <f>"6-PlantInService, Line "&amp;'6-PlantInService'!A58&amp;""</f>
        <v>6-PlantInService, Line 24</v>
      </c>
      <c r="I7" s="13"/>
      <c r="J7" s="924">
        <v>0</v>
      </c>
    </row>
    <row r="8" spans="1:10" x14ac:dyDescent="0.25">
      <c r="A8" s="94">
        <f>A7+1</f>
        <v>3</v>
      </c>
      <c r="B8" s="13"/>
      <c r="C8" s="93" t="s">
        <v>158</v>
      </c>
      <c r="D8" s="13"/>
      <c r="E8" s="13"/>
      <c r="F8" s="13" t="s">
        <v>156</v>
      </c>
      <c r="G8" s="13"/>
      <c r="H8" s="13" t="str">
        <f>"11-PHFU, Line "&amp;'11-PHFU'!A41&amp;""</f>
        <v>11-PHFU, Line 9</v>
      </c>
      <c r="I8" s="13"/>
      <c r="J8" s="924">
        <v>0</v>
      </c>
    </row>
    <row r="9" spans="1:10" x14ac:dyDescent="0.25">
      <c r="A9" s="94">
        <f>A8+1</f>
        <v>4</v>
      </c>
      <c r="B9" s="13"/>
      <c r="C9" s="93" t="s">
        <v>315</v>
      </c>
      <c r="D9" s="13"/>
      <c r="E9" s="13"/>
      <c r="F9" s="13" t="s">
        <v>156</v>
      </c>
      <c r="G9" s="13"/>
      <c r="H9" s="14" t="str">
        <f>"12-AbandonedPlant Line "&amp;'12-AbandonedPlant'!A21&amp;""</f>
        <v>12-AbandonedPlant Line 4</v>
      </c>
      <c r="I9" s="13"/>
      <c r="J9" s="924">
        <v>0</v>
      </c>
    </row>
    <row r="10" spans="1:10" x14ac:dyDescent="0.25">
      <c r="A10" s="94"/>
      <c r="B10" s="13"/>
      <c r="C10" s="93"/>
      <c r="D10" s="13"/>
      <c r="E10" s="13"/>
      <c r="F10" s="13"/>
      <c r="G10" s="13"/>
      <c r="H10" s="13"/>
      <c r="I10" s="13"/>
      <c r="J10" s="56"/>
    </row>
    <row r="11" spans="1:10" x14ac:dyDescent="0.25">
      <c r="A11" s="94"/>
      <c r="B11" s="13"/>
      <c r="C11" s="39" t="s">
        <v>280</v>
      </c>
      <c r="D11" s="13"/>
      <c r="E11" s="13"/>
      <c r="F11" s="13"/>
      <c r="G11" s="13"/>
      <c r="H11" s="13"/>
      <c r="I11" s="13"/>
      <c r="J11" s="56"/>
    </row>
    <row r="12" spans="1:10" x14ac:dyDescent="0.25">
      <c r="A12" s="94">
        <f>A9+1</f>
        <v>5</v>
      </c>
      <c r="B12" s="13"/>
      <c r="C12" s="40" t="s">
        <v>92</v>
      </c>
      <c r="D12" s="13"/>
      <c r="E12" s="13"/>
      <c r="F12" s="13" t="s">
        <v>10</v>
      </c>
      <c r="G12" s="13"/>
      <c r="H12" s="93" t="str">
        <f>"13-WorkCap, Line "&amp;'13-WorkCap'!A27&amp;""</f>
        <v>13-WorkCap, Line 17</v>
      </c>
      <c r="I12" s="13"/>
      <c r="J12" s="924">
        <v>0</v>
      </c>
    </row>
    <row r="13" spans="1:10" x14ac:dyDescent="0.25">
      <c r="A13" s="94">
        <f>A12+1</f>
        <v>6</v>
      </c>
      <c r="B13" s="13"/>
      <c r="C13" s="96" t="s">
        <v>93</v>
      </c>
      <c r="D13" s="13"/>
      <c r="E13" s="13"/>
      <c r="F13" s="13" t="s">
        <v>10</v>
      </c>
      <c r="G13" s="13"/>
      <c r="H13" s="93" t="str">
        <f>"13-WorkCap, Line "&amp;'13-WorkCap'!A51&amp;""</f>
        <v>13-WorkCap, Line 33</v>
      </c>
      <c r="I13" s="13"/>
      <c r="J13" s="924">
        <v>0</v>
      </c>
    </row>
    <row r="14" spans="1:10" ht="15" x14ac:dyDescent="0.4">
      <c r="A14" s="94">
        <f>A13+1</f>
        <v>7</v>
      </c>
      <c r="B14" s="13"/>
      <c r="C14" s="40" t="s">
        <v>173</v>
      </c>
      <c r="D14" s="13"/>
      <c r="E14" s="13"/>
      <c r="F14" s="445" t="s">
        <v>2660</v>
      </c>
      <c r="G14" s="13"/>
      <c r="H14" s="13" t="str">
        <f>"1-Base TRR Line "&amp;'1-BaseTRR'!A17&amp;""</f>
        <v>1-Base TRR Line 7</v>
      </c>
      <c r="I14" s="13"/>
      <c r="J14" s="925">
        <v>0</v>
      </c>
    </row>
    <row r="15" spans="1:10" x14ac:dyDescent="0.25">
      <c r="A15" s="94">
        <f>A14+1</f>
        <v>8</v>
      </c>
      <c r="B15" s="13"/>
      <c r="C15" s="40" t="s">
        <v>91</v>
      </c>
      <c r="D15" s="13"/>
      <c r="E15" s="13"/>
      <c r="F15" s="13"/>
      <c r="G15" s="13"/>
      <c r="H15" s="13" t="str">
        <f>"Line "&amp;A12&amp;" + Line "&amp;A13&amp;" + Line "&amp;A14&amp;""</f>
        <v>Line 5 + Line 6 + Line 7</v>
      </c>
      <c r="I15" s="13"/>
      <c r="J15" s="924">
        <v>0</v>
      </c>
    </row>
    <row r="16" spans="1:10" x14ac:dyDescent="0.25">
      <c r="A16" s="94"/>
      <c r="B16" s="13"/>
      <c r="C16" s="40"/>
      <c r="D16" s="13"/>
      <c r="E16" s="13"/>
      <c r="F16" s="13"/>
      <c r="G16" s="13"/>
      <c r="H16" s="13"/>
      <c r="I16" s="13"/>
      <c r="J16" s="56"/>
    </row>
    <row r="17" spans="1:10" x14ac:dyDescent="0.25">
      <c r="A17" s="94"/>
      <c r="B17" s="13"/>
      <c r="C17" s="887" t="s">
        <v>281</v>
      </c>
      <c r="D17" s="13"/>
      <c r="E17" s="13"/>
      <c r="F17" s="13"/>
      <c r="G17" s="13"/>
      <c r="H17" s="13"/>
      <c r="I17" s="13"/>
      <c r="J17" s="56"/>
    </row>
    <row r="18" spans="1:10" x14ac:dyDescent="0.25">
      <c r="A18" s="94">
        <f>A15+1</f>
        <v>9</v>
      </c>
      <c r="B18" s="13"/>
      <c r="C18" s="442" t="s">
        <v>1660</v>
      </c>
      <c r="D18" s="13"/>
      <c r="E18" s="13"/>
      <c r="F18" s="13" t="s">
        <v>10</v>
      </c>
      <c r="G18" s="13" t="s">
        <v>152</v>
      </c>
      <c r="H18" s="93" t="str">
        <f>"8-AccDep, Line "&amp;'8-AccDep'!A25&amp;", Col. 12"</f>
        <v>8-AccDep, Line 14, Col. 12</v>
      </c>
      <c r="I18" s="13"/>
      <c r="J18" s="924">
        <v>0</v>
      </c>
    </row>
    <row r="19" spans="1:10" x14ac:dyDescent="0.25">
      <c r="A19" s="94">
        <f>A18+1</f>
        <v>10</v>
      </c>
      <c r="B19" s="13"/>
      <c r="C19" s="442" t="s">
        <v>1661</v>
      </c>
      <c r="D19" s="13"/>
      <c r="E19" s="13"/>
      <c r="F19" s="13" t="s">
        <v>156</v>
      </c>
      <c r="G19" s="13" t="s">
        <v>152</v>
      </c>
      <c r="H19" s="93" t="str">
        <f>"8-AccDep, Line "&amp;'8-AccDep'!A35&amp;", Col. 5"</f>
        <v>8-AccDep, Line 17, Col. 5</v>
      </c>
      <c r="I19" s="13"/>
      <c r="J19" s="924">
        <v>0</v>
      </c>
    </row>
    <row r="20" spans="1:10" ht="15" x14ac:dyDescent="0.4">
      <c r="A20" s="94">
        <f>A19+1</f>
        <v>11</v>
      </c>
      <c r="B20" s="13"/>
      <c r="C20" s="40" t="s">
        <v>310</v>
      </c>
      <c r="D20" s="20"/>
      <c r="E20" s="13"/>
      <c r="F20" s="13" t="s">
        <v>156</v>
      </c>
      <c r="G20" s="13" t="s">
        <v>152</v>
      </c>
      <c r="H20" s="93" t="str">
        <f>"8-AccDep, Line "&amp;'8-AccDep'!A53&amp;""</f>
        <v>8-AccDep, Line 23</v>
      </c>
      <c r="I20" s="13"/>
      <c r="J20" s="925">
        <v>0</v>
      </c>
    </row>
    <row r="21" spans="1:10" x14ac:dyDescent="0.25">
      <c r="A21" s="94">
        <f>A20+1</f>
        <v>12</v>
      </c>
      <c r="B21" s="13"/>
      <c r="C21" s="888" t="s">
        <v>164</v>
      </c>
      <c r="D21" s="20"/>
      <c r="E21" s="13"/>
      <c r="F21" s="13"/>
      <c r="G21" s="13"/>
      <c r="H21" s="13" t="str">
        <f>"Line "&amp;A18&amp;" + Line "&amp;A19&amp;" + Line "&amp;A20&amp;""</f>
        <v>Line 9 + Line 10 + Line 11</v>
      </c>
      <c r="I21" s="13"/>
      <c r="J21" s="924">
        <v>0</v>
      </c>
    </row>
    <row r="22" spans="1:10" x14ac:dyDescent="0.25">
      <c r="A22" s="94"/>
      <c r="B22" s="13"/>
      <c r="C22" s="14"/>
      <c r="D22" s="13"/>
      <c r="E22" s="13"/>
      <c r="F22" s="13"/>
      <c r="G22" s="13"/>
      <c r="H22" s="13"/>
      <c r="I22" s="13"/>
      <c r="J22" s="56"/>
    </row>
    <row r="23" spans="1:10" x14ac:dyDescent="0.25">
      <c r="A23" s="94">
        <f>A21+1</f>
        <v>13</v>
      </c>
      <c r="B23" s="13"/>
      <c r="C23" s="868" t="s">
        <v>165</v>
      </c>
      <c r="D23" s="13"/>
      <c r="E23" s="13"/>
      <c r="F23" s="13" t="s">
        <v>156</v>
      </c>
      <c r="G23" s="13"/>
      <c r="H23" s="859" t="s">
        <v>2677</v>
      </c>
      <c r="I23" s="13"/>
      <c r="J23" s="924">
        <v>0</v>
      </c>
    </row>
    <row r="24" spans="1:10" x14ac:dyDescent="0.25">
      <c r="A24" s="94">
        <f>A23+1</f>
        <v>14</v>
      </c>
      <c r="B24" s="13"/>
      <c r="C24" s="93" t="s">
        <v>243</v>
      </c>
      <c r="D24" s="13"/>
      <c r="E24" s="13"/>
      <c r="F24" s="13" t="s">
        <v>10</v>
      </c>
      <c r="G24" s="13"/>
      <c r="H24" s="93" t="str">
        <f>"14-IncentivePlant, L "&amp;'14-IncentivePlant'!A37&amp;", C2"</f>
        <v>14-IncentivePlant, L 12, C2</v>
      </c>
      <c r="I24" s="13"/>
      <c r="J24" s="924">
        <v>0</v>
      </c>
    </row>
    <row r="25" spans="1:10" x14ac:dyDescent="0.25">
      <c r="A25" s="94">
        <f>A24+1</f>
        <v>15</v>
      </c>
      <c r="B25" s="13"/>
      <c r="C25" s="868" t="s">
        <v>56</v>
      </c>
      <c r="D25" s="13"/>
      <c r="E25" s="13"/>
      <c r="F25" s="13" t="s">
        <v>156</v>
      </c>
      <c r="G25" s="13" t="s">
        <v>152</v>
      </c>
      <c r="H25" s="93" t="str">
        <f>"22-NUCs, Line "&amp;'22-NUCs'!A15&amp;""</f>
        <v>22-NUCs, Line 7</v>
      </c>
      <c r="I25" s="13"/>
      <c r="J25" s="924">
        <v>0</v>
      </c>
    </row>
    <row r="26" spans="1:10" x14ac:dyDescent="0.25">
      <c r="A26" s="94">
        <f t="shared" ref="A26:A27" si="0">A25+1</f>
        <v>16</v>
      </c>
      <c r="B26" s="13"/>
      <c r="C26" s="859" t="s">
        <v>1987</v>
      </c>
      <c r="D26" s="13"/>
      <c r="E26" s="13"/>
      <c r="F26" s="13"/>
      <c r="G26" s="13"/>
      <c r="H26" s="14" t="str">
        <f>"34-UnfundedReserves, Line "&amp;'34-UnfundedReserves'!A10&amp;""</f>
        <v>34-UnfundedReserves, Line 7</v>
      </c>
      <c r="I26" s="13"/>
      <c r="J26" s="924">
        <v>0</v>
      </c>
    </row>
    <row r="27" spans="1:10" x14ac:dyDescent="0.25">
      <c r="A27" s="94">
        <f t="shared" si="0"/>
        <v>17</v>
      </c>
      <c r="B27" s="13"/>
      <c r="C27" s="868" t="s">
        <v>367</v>
      </c>
      <c r="D27" s="13"/>
      <c r="E27" s="13"/>
      <c r="F27" s="13" t="s">
        <v>156</v>
      </c>
      <c r="G27" s="13"/>
      <c r="H27" s="93" t="str">
        <f>"23-RegAssets, Line "&amp;'23-RegAssets'!A18&amp;""</f>
        <v>23-RegAssets, Line 15</v>
      </c>
      <c r="I27" s="13"/>
      <c r="J27" s="924">
        <v>0</v>
      </c>
    </row>
    <row r="28" spans="1:10" x14ac:dyDescent="0.25">
      <c r="A28" s="94"/>
      <c r="B28" s="13"/>
      <c r="C28" s="868"/>
      <c r="D28" s="13"/>
      <c r="E28" s="13"/>
      <c r="F28" s="13"/>
      <c r="G28" s="13"/>
      <c r="H28" s="13"/>
      <c r="I28" s="13"/>
      <c r="J28" s="13"/>
    </row>
    <row r="29" spans="1:10" x14ac:dyDescent="0.25">
      <c r="A29" s="94">
        <f>A27+1</f>
        <v>18</v>
      </c>
      <c r="B29" s="13"/>
      <c r="C29" s="13" t="s">
        <v>174</v>
      </c>
      <c r="D29" s="13"/>
      <c r="E29" s="13"/>
      <c r="F29" s="13"/>
      <c r="G29" s="13"/>
      <c r="H29" s="13" t="str">
        <f>"L"&amp;A6&amp;"+L"&amp;A7&amp;"+L"&amp;A8&amp;"+L"&amp;A9&amp;"+L"&amp;A15&amp;"+L"&amp;A21&amp;"+"</f>
        <v>L1+L2+L3+L4+L8+L12+</v>
      </c>
      <c r="I29" s="13"/>
      <c r="J29" s="924">
        <v>0</v>
      </c>
    </row>
    <row r="30" spans="1:10" x14ac:dyDescent="0.25">
      <c r="A30" s="94"/>
      <c r="B30" s="13"/>
      <c r="C30" s="13"/>
      <c r="D30" s="13"/>
      <c r="E30" s="13"/>
      <c r="F30" s="13"/>
      <c r="G30" s="13"/>
      <c r="H30" s="13" t="str">
        <f>"L"&amp;A23&amp;"+L"&amp;A24&amp;"+L"&amp;A25&amp;"+L"&amp;A26&amp;"+L"&amp;A27&amp;""</f>
        <v>L13+L14+L15+L16+L17</v>
      </c>
      <c r="I30" s="13"/>
      <c r="J30" s="56"/>
    </row>
    <row r="31" spans="1:10" x14ac:dyDescent="0.25">
      <c r="A31" s="94"/>
      <c r="B31" s="38" t="s">
        <v>2209</v>
      </c>
      <c r="D31" s="13"/>
      <c r="E31" s="13"/>
      <c r="F31" s="13"/>
      <c r="G31" s="13"/>
      <c r="H31" s="13"/>
      <c r="I31" s="13"/>
      <c r="J31" s="56"/>
    </row>
    <row r="32" spans="1:10" x14ac:dyDescent="0.25">
      <c r="A32" s="534" t="s">
        <v>322</v>
      </c>
      <c r="B32" s="13"/>
      <c r="C32" s="38"/>
      <c r="D32" s="13"/>
      <c r="E32" s="13"/>
      <c r="F32" s="13"/>
      <c r="G32" s="13"/>
      <c r="H32" s="13"/>
      <c r="I32" s="13"/>
      <c r="J32" s="56"/>
    </row>
    <row r="33" spans="1:10" x14ac:dyDescent="0.25">
      <c r="A33" s="94">
        <f>A29+1</f>
        <v>19</v>
      </c>
      <c r="B33" s="13"/>
      <c r="C33" s="13" t="s">
        <v>54</v>
      </c>
      <c r="D33" s="13"/>
      <c r="E33" s="13"/>
      <c r="F33" s="13"/>
      <c r="G33" s="445" t="s">
        <v>1855</v>
      </c>
      <c r="H33" s="445" t="str">
        <f>"Instruction 1, Line "&amp;B97&amp;""</f>
        <v>Instruction 1, Line j</v>
      </c>
      <c r="I33" s="13"/>
      <c r="J33" s="926" t="s">
        <v>2193</v>
      </c>
    </row>
    <row r="34" spans="1:10" x14ac:dyDescent="0.25">
      <c r="A34" s="94">
        <f>A33+1</f>
        <v>20</v>
      </c>
      <c r="B34" s="13"/>
      <c r="C34" s="14" t="s">
        <v>55</v>
      </c>
      <c r="D34" s="14"/>
      <c r="E34" s="14"/>
      <c r="F34" s="14"/>
      <c r="G34" s="14"/>
      <c r="H34" s="13" t="str">
        <f>"Line "&amp;A29&amp;" * Line "&amp;A33&amp;""</f>
        <v>Line 18 * Line 19</v>
      </c>
      <c r="I34" s="13"/>
      <c r="J34" s="924">
        <v>0</v>
      </c>
    </row>
    <row r="35" spans="1:10" x14ac:dyDescent="0.25">
      <c r="A35" s="94"/>
      <c r="B35" s="96"/>
      <c r="C35" s="13"/>
      <c r="D35" s="13"/>
      <c r="E35" s="13"/>
      <c r="F35" s="13"/>
      <c r="G35" s="13"/>
      <c r="H35" s="13"/>
      <c r="I35" s="13"/>
      <c r="J35" s="13"/>
    </row>
    <row r="36" spans="1:10" x14ac:dyDescent="0.25">
      <c r="A36" s="94"/>
      <c r="B36" s="38" t="s">
        <v>2210</v>
      </c>
      <c r="D36" s="13"/>
      <c r="E36" s="13"/>
      <c r="F36" s="13"/>
      <c r="G36" s="13"/>
      <c r="H36" s="13"/>
      <c r="I36" s="13"/>
      <c r="J36" s="13"/>
    </row>
    <row r="37" spans="1:10" x14ac:dyDescent="0.25">
      <c r="A37" s="2"/>
      <c r="B37" s="15"/>
    </row>
    <row r="38" spans="1:10" x14ac:dyDescent="0.25">
      <c r="A38" s="94">
        <f>A34+1</f>
        <v>21</v>
      </c>
      <c r="B38" s="13"/>
      <c r="C38" s="445" t="s">
        <v>2191</v>
      </c>
      <c r="D38" s="13"/>
      <c r="E38" s="13"/>
      <c r="F38" s="13"/>
      <c r="G38" s="13"/>
      <c r="H38" s="13"/>
      <c r="I38" s="13"/>
      <c r="J38" s="924">
        <v>0</v>
      </c>
    </row>
    <row r="39" spans="1:10" x14ac:dyDescent="0.25">
      <c r="A39" s="94"/>
      <c r="B39" s="13"/>
      <c r="C39" s="13"/>
      <c r="D39" s="13"/>
      <c r="E39" s="13"/>
      <c r="F39" s="13"/>
      <c r="G39" s="13"/>
      <c r="H39" s="13"/>
      <c r="I39" s="13"/>
      <c r="J39" s="14"/>
    </row>
    <row r="40" spans="1:10" x14ac:dyDescent="0.25">
      <c r="A40" s="94"/>
      <c r="B40" s="13"/>
      <c r="C40" s="13"/>
      <c r="D40" s="13" t="s">
        <v>217</v>
      </c>
      <c r="E40" s="13"/>
      <c r="F40" s="13"/>
      <c r="G40" s="13"/>
      <c r="H40" s="13"/>
      <c r="I40" s="13"/>
      <c r="J40" s="13"/>
    </row>
    <row r="41" spans="1:10" x14ac:dyDescent="0.25">
      <c r="A41" s="94">
        <f>A38+1</f>
        <v>22</v>
      </c>
      <c r="B41" s="13"/>
      <c r="C41" s="13"/>
      <c r="D41" s="96" t="s">
        <v>218</v>
      </c>
      <c r="E41" s="13"/>
      <c r="F41" s="13"/>
      <c r="G41" s="13"/>
      <c r="H41" s="13" t="str">
        <f>"Line "&amp;A29&amp;""</f>
        <v>Line 18</v>
      </c>
      <c r="I41" s="13"/>
      <c r="J41" s="924">
        <v>0</v>
      </c>
    </row>
    <row r="42" spans="1:10" x14ac:dyDescent="0.25">
      <c r="A42" s="94">
        <f>A41+1</f>
        <v>23</v>
      </c>
      <c r="B42" s="13"/>
      <c r="C42" s="13"/>
      <c r="D42" s="442" t="s">
        <v>1735</v>
      </c>
      <c r="E42" s="13"/>
      <c r="F42" s="13"/>
      <c r="G42" s="445" t="s">
        <v>1705</v>
      </c>
      <c r="H42" s="445" t="str">
        <f>"Instruction 1, Line "&amp;B102&amp;""</f>
        <v>Instruction 1, Line k</v>
      </c>
      <c r="I42" s="13"/>
      <c r="J42" s="926" t="s">
        <v>2193</v>
      </c>
    </row>
    <row r="43" spans="1:10" x14ac:dyDescent="0.25">
      <c r="A43" s="94">
        <f>A42+1</f>
        <v>24</v>
      </c>
      <c r="B43" s="13"/>
      <c r="C43" s="13"/>
      <c r="D43" s="96" t="s">
        <v>219</v>
      </c>
      <c r="E43" s="13"/>
      <c r="F43" s="13"/>
      <c r="G43" s="13"/>
      <c r="H43" s="13" t="str">
        <f>"1-Base TRR L "&amp;'1-BaseTRR'!A102&amp;""</f>
        <v>1-Base TRR L 59</v>
      </c>
      <c r="I43" s="13"/>
      <c r="J43" s="926" t="s">
        <v>2193</v>
      </c>
    </row>
    <row r="44" spans="1:10" x14ac:dyDescent="0.25">
      <c r="A44" s="94">
        <f>A43+1</f>
        <v>25</v>
      </c>
      <c r="B44" s="13"/>
      <c r="C44" s="13"/>
      <c r="D44" s="96" t="s">
        <v>220</v>
      </c>
      <c r="E44" s="13"/>
      <c r="F44" s="13"/>
      <c r="G44" s="13"/>
      <c r="H44" s="13" t="str">
        <f>"1-Base TRR L "&amp;'1-BaseTRR'!A108&amp;""</f>
        <v>1-Base TRR L 63</v>
      </c>
      <c r="I44" s="13"/>
      <c r="J44" s="924">
        <v>0</v>
      </c>
    </row>
    <row r="45" spans="1:10" x14ac:dyDescent="0.25">
      <c r="A45" s="94">
        <f>A44+1</f>
        <v>26</v>
      </c>
      <c r="B45" s="13"/>
      <c r="C45" s="13"/>
      <c r="D45" s="96" t="s">
        <v>1731</v>
      </c>
      <c r="E45" s="13"/>
      <c r="F45" s="13"/>
      <c r="G45" s="13"/>
      <c r="H45" s="13" t="str">
        <f>"1-Base TRR L "&amp;'1-BaseTRR'!A112&amp;""</f>
        <v>1-Base TRR L 65</v>
      </c>
      <c r="I45" s="13"/>
      <c r="J45" s="924">
        <v>0</v>
      </c>
    </row>
    <row r="46" spans="1:10" x14ac:dyDescent="0.25">
      <c r="A46" s="2"/>
      <c r="B46" s="15"/>
    </row>
    <row r="47" spans="1:10" x14ac:dyDescent="0.25">
      <c r="A47" s="2"/>
      <c r="B47" s="1" t="s">
        <v>2211</v>
      </c>
    </row>
    <row r="48" spans="1:10" x14ac:dyDescent="0.25">
      <c r="A48" s="94">
        <f>A45+1</f>
        <v>27</v>
      </c>
      <c r="B48" s="96"/>
      <c r="C48" s="13" t="s">
        <v>102</v>
      </c>
      <c r="D48" s="13"/>
      <c r="E48" s="13"/>
      <c r="F48" s="13"/>
      <c r="G48" s="13"/>
      <c r="H48" s="13" t="str">
        <f>"1-Base TRR L "&amp;'1-BaseTRR'!A124&amp;""</f>
        <v>1-Base TRR L 66</v>
      </c>
      <c r="I48" s="13"/>
      <c r="J48" s="924">
        <v>0</v>
      </c>
    </row>
    <row r="49" spans="1:13" x14ac:dyDescent="0.25">
      <c r="A49" s="94">
        <f t="shared" ref="A49:A59" si="1">A48+1</f>
        <v>28</v>
      </c>
      <c r="B49" s="96"/>
      <c r="C49" s="14" t="s">
        <v>267</v>
      </c>
      <c r="D49" s="13"/>
      <c r="E49" s="13"/>
      <c r="F49" s="13"/>
      <c r="G49" s="13"/>
      <c r="H49" s="13" t="str">
        <f>"1-Base TRR L "&amp;'1-BaseTRR'!A125&amp;""</f>
        <v>1-Base TRR L 67</v>
      </c>
      <c r="I49" s="13"/>
      <c r="J49" s="924">
        <v>0</v>
      </c>
    </row>
    <row r="50" spans="1:13" x14ac:dyDescent="0.25">
      <c r="A50" s="94">
        <f t="shared" si="1"/>
        <v>29</v>
      </c>
      <c r="B50" s="96"/>
      <c r="C50" s="13" t="s">
        <v>57</v>
      </c>
      <c r="D50" s="13"/>
      <c r="E50" s="13"/>
      <c r="F50" s="13"/>
      <c r="G50" s="13"/>
      <c r="H50" s="13" t="str">
        <f>"1-Base TRR L "&amp;'1-BaseTRR'!A126&amp;""</f>
        <v>1-Base TRR L 68</v>
      </c>
      <c r="I50" s="13"/>
      <c r="J50" s="924">
        <v>0</v>
      </c>
    </row>
    <row r="51" spans="1:13" x14ac:dyDescent="0.25">
      <c r="A51" s="94">
        <f t="shared" si="1"/>
        <v>30</v>
      </c>
      <c r="B51" s="96"/>
      <c r="C51" s="14" t="s">
        <v>253</v>
      </c>
      <c r="D51" s="13"/>
      <c r="E51" s="13"/>
      <c r="F51" s="13"/>
      <c r="G51" s="13"/>
      <c r="H51" s="13" t="str">
        <f>"1-Base TRR L "&amp;'1-BaseTRR'!A127&amp;""</f>
        <v>1-Base TRR L 69</v>
      </c>
      <c r="I51" s="13"/>
      <c r="J51" s="924">
        <v>0</v>
      </c>
    </row>
    <row r="52" spans="1:13" x14ac:dyDescent="0.25">
      <c r="A52" s="94">
        <f t="shared" si="1"/>
        <v>31</v>
      </c>
      <c r="B52" s="96"/>
      <c r="C52" s="14" t="s">
        <v>294</v>
      </c>
      <c r="D52" s="13"/>
      <c r="E52" s="13"/>
      <c r="F52" s="13"/>
      <c r="G52" s="13"/>
      <c r="H52" s="13" t="str">
        <f>"1-Base TRR L "&amp;'1-BaseTRR'!A128&amp;""</f>
        <v>1-Base TRR L 70</v>
      </c>
      <c r="I52" s="13"/>
      <c r="J52" s="924">
        <v>0</v>
      </c>
    </row>
    <row r="53" spans="1:13" x14ac:dyDescent="0.25">
      <c r="A53" s="94">
        <f t="shared" si="1"/>
        <v>32</v>
      </c>
      <c r="B53" s="96"/>
      <c r="C53" s="14" t="s">
        <v>80</v>
      </c>
      <c r="D53" s="13"/>
      <c r="E53" s="13"/>
      <c r="F53" s="13"/>
      <c r="G53" s="13"/>
      <c r="H53" s="13" t="str">
        <f>"1-Base TRR L "&amp;'1-BaseTRR'!A129&amp;""</f>
        <v>1-Base TRR L 71</v>
      </c>
      <c r="I53" s="13"/>
      <c r="J53" s="924">
        <v>0</v>
      </c>
    </row>
    <row r="54" spans="1:13" x14ac:dyDescent="0.25">
      <c r="A54" s="94">
        <f t="shared" si="1"/>
        <v>33</v>
      </c>
      <c r="B54" s="96"/>
      <c r="C54" s="13" t="s">
        <v>11</v>
      </c>
      <c r="D54" s="13"/>
      <c r="E54" s="13"/>
      <c r="F54" s="13"/>
      <c r="G54" s="14"/>
      <c r="H54" s="13" t="str">
        <f>"1-Base TRR L "&amp;'1-BaseTRR'!A130&amp;""</f>
        <v>1-Base TRR L 72</v>
      </c>
      <c r="I54" s="13"/>
      <c r="J54" s="924">
        <v>0</v>
      </c>
    </row>
    <row r="55" spans="1:13" x14ac:dyDescent="0.25">
      <c r="A55" s="94">
        <f t="shared" si="1"/>
        <v>34</v>
      </c>
      <c r="B55" s="96"/>
      <c r="C55" s="13" t="s">
        <v>88</v>
      </c>
      <c r="D55" s="13"/>
      <c r="E55" s="13"/>
      <c r="F55" s="13"/>
      <c r="G55" s="13"/>
      <c r="H55" s="13" t="str">
        <f>"Line "&amp;A34&amp;""</f>
        <v>Line 20</v>
      </c>
      <c r="I55" s="13"/>
      <c r="J55" s="924">
        <v>0</v>
      </c>
    </row>
    <row r="56" spans="1:13" x14ac:dyDescent="0.25">
      <c r="A56" s="94">
        <f t="shared" si="1"/>
        <v>35</v>
      </c>
      <c r="B56" s="96"/>
      <c r="C56" s="13" t="s">
        <v>5</v>
      </c>
      <c r="D56" s="13"/>
      <c r="E56" s="13"/>
      <c r="F56" s="13"/>
      <c r="G56" s="13"/>
      <c r="H56" s="13" t="str">
        <f>"Line "&amp;A38&amp;""</f>
        <v>Line 21</v>
      </c>
      <c r="I56" s="13"/>
      <c r="J56" s="924">
        <v>0</v>
      </c>
      <c r="M56" s="443" t="s">
        <v>331</v>
      </c>
    </row>
    <row r="57" spans="1:13" x14ac:dyDescent="0.25">
      <c r="A57" s="94">
        <f t="shared" si="1"/>
        <v>36</v>
      </c>
      <c r="B57" s="96"/>
      <c r="C57" s="14" t="s">
        <v>362</v>
      </c>
      <c r="D57" s="13"/>
      <c r="E57" s="13"/>
      <c r="F57" s="13"/>
      <c r="G57" s="13"/>
      <c r="H57" s="13" t="str">
        <f>"1-Base TRR L "&amp;'1-BaseTRR'!A133&amp;""</f>
        <v>1-Base TRR L 75</v>
      </c>
      <c r="I57" s="13"/>
      <c r="J57" s="924">
        <v>0</v>
      </c>
    </row>
    <row r="58" spans="1:13" ht="15" x14ac:dyDescent="0.4">
      <c r="A58" s="94">
        <f t="shared" si="1"/>
        <v>37</v>
      </c>
      <c r="B58" s="96"/>
      <c r="C58" s="560" t="s">
        <v>1719</v>
      </c>
      <c r="D58" s="672"/>
      <c r="E58" s="13"/>
      <c r="F58" s="13"/>
      <c r="G58" s="13"/>
      <c r="H58" s="13" t="str">
        <f>"1-Base TRR L "&amp;'1-BaseTRR'!A134&amp;""</f>
        <v>1-Base TRR L 76</v>
      </c>
      <c r="I58" s="13"/>
      <c r="J58" s="925">
        <v>0</v>
      </c>
    </row>
    <row r="59" spans="1:13" x14ac:dyDescent="0.25">
      <c r="A59" s="94">
        <f t="shared" si="1"/>
        <v>38</v>
      </c>
      <c r="B59" s="96"/>
      <c r="C59" s="445" t="s">
        <v>1491</v>
      </c>
      <c r="D59" s="13"/>
      <c r="E59" s="13"/>
      <c r="F59" s="13"/>
      <c r="G59" s="13"/>
      <c r="H59" s="13" t="str">
        <f>"Sum Line "&amp;A48&amp;" to Line "&amp;A58&amp;""</f>
        <v>Sum Line 27 to Line 37</v>
      </c>
      <c r="I59" s="13"/>
      <c r="J59" s="924">
        <v>0</v>
      </c>
    </row>
    <row r="60" spans="1:13" x14ac:dyDescent="0.25">
      <c r="A60" s="94"/>
      <c r="B60" s="96"/>
      <c r="C60" s="13"/>
      <c r="D60" s="13"/>
      <c r="E60" s="13"/>
      <c r="F60" s="13"/>
      <c r="G60" s="13"/>
      <c r="H60" s="13"/>
      <c r="I60" s="13"/>
      <c r="J60" s="56"/>
    </row>
    <row r="61" spans="1:13" ht="12.75" customHeight="1" x14ac:dyDescent="0.25">
      <c r="A61" s="94">
        <f>A59+1</f>
        <v>39</v>
      </c>
      <c r="B61" s="96"/>
      <c r="C61" s="445" t="s">
        <v>1468</v>
      </c>
      <c r="D61" s="13"/>
      <c r="E61" s="13"/>
      <c r="F61" s="13"/>
      <c r="G61" s="13"/>
      <c r="H61" s="13" t="str">
        <f>"15-IncentiveAdder L "&amp;'15-IncentiveAdder'!A59&amp;""</f>
        <v>15-IncentiveAdder L 20</v>
      </c>
      <c r="I61" s="13"/>
      <c r="J61" s="924">
        <v>0</v>
      </c>
    </row>
    <row r="62" spans="1:13" x14ac:dyDescent="0.25">
      <c r="A62" s="94"/>
      <c r="B62" s="96"/>
      <c r="C62" s="14"/>
      <c r="D62" s="13"/>
      <c r="E62" s="13"/>
      <c r="F62" s="13"/>
      <c r="G62" s="13"/>
      <c r="H62" s="13"/>
      <c r="I62" s="13"/>
      <c r="J62" s="56"/>
    </row>
    <row r="63" spans="1:13" x14ac:dyDescent="0.25">
      <c r="A63" s="94">
        <f>A61+1</f>
        <v>40</v>
      </c>
      <c r="B63" s="96"/>
      <c r="C63" s="445" t="s">
        <v>2202</v>
      </c>
      <c r="D63" s="13"/>
      <c r="E63" s="13"/>
      <c r="F63" s="13"/>
      <c r="G63" s="13"/>
      <c r="H63" s="13" t="str">
        <f>"Line "&amp;A59&amp;" + Line "&amp;A61&amp;""</f>
        <v>Line 38 + Line 39</v>
      </c>
      <c r="I63" s="13"/>
      <c r="J63" s="924">
        <v>0</v>
      </c>
    </row>
    <row r="64" spans="1:13" x14ac:dyDescent="0.25">
      <c r="A64" s="94"/>
      <c r="B64" s="96"/>
      <c r="C64" s="14"/>
      <c r="D64" s="13"/>
      <c r="E64" s="13"/>
      <c r="F64" s="13"/>
      <c r="G64" s="13"/>
      <c r="H64" s="13"/>
      <c r="I64" s="13"/>
      <c r="J64" s="56"/>
    </row>
    <row r="65" spans="1:10" x14ac:dyDescent="0.25">
      <c r="A65" s="94"/>
      <c r="B65" s="357" t="s">
        <v>2212</v>
      </c>
      <c r="C65" s="14"/>
      <c r="D65" s="13"/>
      <c r="E65" s="13"/>
      <c r="F65" s="13"/>
      <c r="G65" s="13"/>
      <c r="H65" s="13"/>
      <c r="I65" s="13"/>
      <c r="J65" s="56"/>
    </row>
    <row r="66" spans="1:10" x14ac:dyDescent="0.25">
      <c r="A66" s="534" t="s">
        <v>322</v>
      </c>
      <c r="B66" s="868"/>
      <c r="C66" s="13"/>
      <c r="D66" s="13"/>
      <c r="E66" s="13"/>
      <c r="F66" s="13"/>
      <c r="G66" s="844" t="s">
        <v>1138</v>
      </c>
      <c r="H66" s="13"/>
      <c r="I66" s="13"/>
      <c r="J66" s="13"/>
    </row>
    <row r="67" spans="1:10" x14ac:dyDescent="0.25">
      <c r="A67" s="94">
        <f>A63+1</f>
        <v>41</v>
      </c>
      <c r="B67" s="868"/>
      <c r="C67" s="13"/>
      <c r="D67" s="858" t="s">
        <v>1492</v>
      </c>
      <c r="E67" s="924">
        <v>0</v>
      </c>
      <c r="F67" s="13"/>
      <c r="G67" s="13" t="str">
        <f>"Line "&amp;A63&amp;""</f>
        <v>Line 40</v>
      </c>
      <c r="H67" s="13"/>
      <c r="I67" s="13"/>
      <c r="J67" s="13"/>
    </row>
    <row r="68" spans="1:10" x14ac:dyDescent="0.25">
      <c r="A68" s="94">
        <f>A67+1</f>
        <v>42</v>
      </c>
      <c r="B68" s="868"/>
      <c r="C68" s="13"/>
      <c r="D68" s="323" t="s">
        <v>1137</v>
      </c>
      <c r="E68" s="926" t="s">
        <v>2193</v>
      </c>
      <c r="F68" s="13"/>
      <c r="G68" s="13" t="str">
        <f>"28-FFU, L "&amp;'28-FFU'!A22&amp;""</f>
        <v>28-FFU, L 5</v>
      </c>
      <c r="H68" s="13"/>
      <c r="I68" s="13"/>
      <c r="J68" s="13"/>
    </row>
    <row r="69" spans="1:10" x14ac:dyDescent="0.25">
      <c r="A69" s="94">
        <f>A68+1</f>
        <v>43</v>
      </c>
      <c r="B69" s="868"/>
      <c r="C69" s="13"/>
      <c r="D69" s="72" t="s">
        <v>234</v>
      </c>
      <c r="E69" s="924">
        <v>0</v>
      </c>
      <c r="F69" s="13"/>
      <c r="G69" s="13" t="str">
        <f>"Line "&amp;A67&amp;" * Line "&amp;A68&amp;""</f>
        <v>Line 41 * Line 42</v>
      </c>
      <c r="H69" s="13"/>
      <c r="I69" s="13"/>
      <c r="J69" s="13"/>
    </row>
    <row r="70" spans="1:10" x14ac:dyDescent="0.25">
      <c r="A70" s="94">
        <f>A69+1</f>
        <v>44</v>
      </c>
      <c r="B70" s="868"/>
      <c r="C70" s="13"/>
      <c r="D70" s="858" t="s">
        <v>1728</v>
      </c>
      <c r="E70" s="926" t="s">
        <v>2193</v>
      </c>
      <c r="F70" s="13"/>
      <c r="G70" s="13" t="str">
        <f>"28-FFU, L "&amp;'28-FFU'!A22&amp;""</f>
        <v>28-FFU, L 5</v>
      </c>
      <c r="H70" s="13"/>
      <c r="I70" s="13"/>
      <c r="J70" s="13"/>
    </row>
    <row r="71" spans="1:10" x14ac:dyDescent="0.25">
      <c r="A71" s="94">
        <f>A70+1</f>
        <v>45</v>
      </c>
      <c r="B71" s="868"/>
      <c r="C71" s="13"/>
      <c r="D71" s="858" t="s">
        <v>1449</v>
      </c>
      <c r="E71" s="924">
        <v>0</v>
      </c>
      <c r="F71" s="13"/>
      <c r="G71" s="13" t="str">
        <f>"Line "&amp;A67&amp;" * Line "&amp;A70&amp;""</f>
        <v>Line 41 * Line 44</v>
      </c>
      <c r="H71" s="13"/>
      <c r="I71" s="13"/>
      <c r="J71" s="13"/>
    </row>
    <row r="72" spans="1:10" x14ac:dyDescent="0.25">
      <c r="A72" s="94">
        <f>A71+1</f>
        <v>46</v>
      </c>
      <c r="B72" s="868"/>
      <c r="C72" s="13"/>
      <c r="D72" s="858" t="s">
        <v>1493</v>
      </c>
      <c r="E72" s="924">
        <v>0</v>
      </c>
      <c r="F72" s="13"/>
      <c r="G72" s="13" t="str">
        <f>"L "&amp;A67&amp;" + L "&amp;A69&amp;" + L "&amp;A71&amp;""</f>
        <v>L 41 + L 43 + L 45</v>
      </c>
      <c r="H72" s="13"/>
      <c r="I72" s="13"/>
      <c r="J72" s="13"/>
    </row>
    <row r="73" spans="1:10" x14ac:dyDescent="0.25">
      <c r="A73" s="13"/>
      <c r="B73" s="889" t="s">
        <v>382</v>
      </c>
      <c r="C73" s="13"/>
      <c r="D73" s="72"/>
      <c r="E73" s="56"/>
      <c r="F73" s="13"/>
      <c r="G73" s="13"/>
      <c r="H73" s="570"/>
      <c r="I73" s="13"/>
      <c r="J73" s="13"/>
    </row>
    <row r="74" spans="1:10" x14ac:dyDescent="0.25">
      <c r="A74" s="94"/>
      <c r="B74" s="445" t="s">
        <v>2482</v>
      </c>
      <c r="C74" s="357"/>
      <c r="D74" s="72"/>
      <c r="E74" s="56"/>
      <c r="F74" s="13"/>
      <c r="G74" s="13"/>
      <c r="H74" s="13"/>
      <c r="I74" s="13"/>
      <c r="J74" s="13"/>
    </row>
    <row r="75" spans="1:10" x14ac:dyDescent="0.25">
      <c r="A75" s="94"/>
      <c r="B75" s="445" t="s">
        <v>2370</v>
      </c>
      <c r="C75" s="357"/>
      <c r="D75" s="72"/>
      <c r="E75" s="56"/>
      <c r="F75" s="13"/>
      <c r="G75" s="13"/>
      <c r="H75" s="13"/>
      <c r="I75" s="13"/>
      <c r="J75" s="13"/>
    </row>
    <row r="76" spans="1:10" x14ac:dyDescent="0.25">
      <c r="A76" s="94"/>
      <c r="B76" s="859" t="s">
        <v>1706</v>
      </c>
      <c r="C76" s="14"/>
      <c r="D76" s="72"/>
      <c r="E76" s="56"/>
      <c r="F76" s="13"/>
      <c r="G76" s="13"/>
      <c r="H76" s="13"/>
      <c r="I76" s="13"/>
      <c r="J76" s="13"/>
    </row>
    <row r="77" spans="1:10" x14ac:dyDescent="0.25">
      <c r="A77" s="94"/>
      <c r="B77" s="859" t="s">
        <v>1760</v>
      </c>
      <c r="C77" s="13"/>
      <c r="D77" s="72"/>
      <c r="E77" s="56"/>
      <c r="F77" s="13"/>
      <c r="G77" s="13"/>
      <c r="H77" s="13"/>
      <c r="I77" s="13"/>
      <c r="J77" s="13"/>
    </row>
    <row r="78" spans="1:10" x14ac:dyDescent="0.25">
      <c r="A78" s="94"/>
      <c r="B78" s="13"/>
      <c r="C78" s="13"/>
      <c r="D78" s="13"/>
      <c r="E78" s="13"/>
      <c r="F78" s="13"/>
      <c r="G78" s="13"/>
      <c r="H78" s="13"/>
      <c r="I78" s="13"/>
      <c r="J78" s="13"/>
    </row>
    <row r="79" spans="1:10" x14ac:dyDescent="0.25">
      <c r="A79" s="94"/>
      <c r="B79" s="445" t="s">
        <v>1850</v>
      </c>
      <c r="C79" s="13"/>
      <c r="D79" s="13"/>
      <c r="E79" s="13"/>
      <c r="F79" s="13"/>
      <c r="G79" s="13"/>
      <c r="H79" s="13"/>
      <c r="I79" s="13"/>
      <c r="J79" s="13"/>
    </row>
    <row r="80" spans="1:10" x14ac:dyDescent="0.25">
      <c r="A80" s="94"/>
      <c r="B80" s="445"/>
      <c r="C80" s="445" t="s">
        <v>1856</v>
      </c>
      <c r="D80" s="13"/>
      <c r="E80" s="13"/>
      <c r="F80" s="13"/>
      <c r="G80" s="13"/>
      <c r="H80" s="13"/>
      <c r="I80" s="13"/>
      <c r="J80" s="13"/>
    </row>
    <row r="81" spans="1:12" x14ac:dyDescent="0.25">
      <c r="A81" s="94"/>
      <c r="B81" s="445"/>
      <c r="C81" s="13"/>
      <c r="D81" s="13"/>
      <c r="E81" s="13"/>
      <c r="F81" s="13"/>
      <c r="G81" s="13"/>
      <c r="H81" s="13"/>
      <c r="I81" s="13"/>
      <c r="J81" s="94" t="s">
        <v>1847</v>
      </c>
    </row>
    <row r="82" spans="1:12" x14ac:dyDescent="0.25">
      <c r="A82" s="94"/>
      <c r="B82" s="13"/>
      <c r="C82" s="13"/>
      <c r="D82" s="13"/>
      <c r="E82" s="104" t="s">
        <v>1444</v>
      </c>
      <c r="F82" s="844" t="s">
        <v>1138</v>
      </c>
      <c r="G82" s="104" t="s">
        <v>235</v>
      </c>
      <c r="H82" s="104" t="s">
        <v>236</v>
      </c>
      <c r="I82" s="13"/>
      <c r="J82" s="104" t="s">
        <v>1846</v>
      </c>
    </row>
    <row r="83" spans="1:12" x14ac:dyDescent="0.25">
      <c r="B83" s="863" t="s">
        <v>1691</v>
      </c>
      <c r="C83" s="445" t="s">
        <v>1845</v>
      </c>
      <c r="D83" s="13"/>
      <c r="E83" s="935" t="s">
        <v>2193</v>
      </c>
      <c r="F83" s="855" t="s">
        <v>1849</v>
      </c>
      <c r="G83" s="567" t="s">
        <v>77</v>
      </c>
      <c r="H83" s="567" t="s">
        <v>77</v>
      </c>
      <c r="I83" s="14"/>
      <c r="J83" s="567" t="s">
        <v>77</v>
      </c>
      <c r="K83" s="14"/>
      <c r="L83" s="14"/>
    </row>
    <row r="84" spans="1:12" x14ac:dyDescent="0.25">
      <c r="B84" s="863" t="s">
        <v>1692</v>
      </c>
      <c r="C84" s="445" t="s">
        <v>1869</v>
      </c>
      <c r="D84" s="13"/>
      <c r="E84" s="935" t="s">
        <v>2193</v>
      </c>
      <c r="F84" s="855" t="s">
        <v>2483</v>
      </c>
      <c r="G84" s="567" t="s">
        <v>77</v>
      </c>
      <c r="H84" s="567" t="s">
        <v>77</v>
      </c>
      <c r="I84" s="14"/>
      <c r="J84" s="567" t="s">
        <v>77</v>
      </c>
      <c r="K84" s="14"/>
      <c r="L84" s="14"/>
    </row>
    <row r="85" spans="1:12" x14ac:dyDescent="0.25">
      <c r="B85" s="863" t="s">
        <v>1693</v>
      </c>
      <c r="C85" s="445"/>
      <c r="D85" s="13"/>
      <c r="E85" s="890"/>
      <c r="F85" s="855"/>
      <c r="G85" s="514"/>
      <c r="H85" s="514"/>
      <c r="I85" s="858" t="s">
        <v>2014</v>
      </c>
      <c r="J85" s="929" t="s">
        <v>2194</v>
      </c>
      <c r="K85" s="14"/>
      <c r="L85" s="14"/>
    </row>
    <row r="86" spans="1:12" x14ac:dyDescent="0.25">
      <c r="A86" s="13"/>
      <c r="B86" s="863" t="s">
        <v>1694</v>
      </c>
      <c r="C86" s="445" t="s">
        <v>1858</v>
      </c>
      <c r="D86" s="13"/>
      <c r="E86" s="926" t="s">
        <v>2193</v>
      </c>
      <c r="F86" s="445" t="s">
        <v>2015</v>
      </c>
      <c r="G86" s="13"/>
      <c r="H86" s="14"/>
      <c r="I86" s="14"/>
      <c r="J86" s="14"/>
      <c r="K86" s="14"/>
      <c r="L86" s="14"/>
    </row>
    <row r="87" spans="1:12" x14ac:dyDescent="0.25">
      <c r="A87" s="94"/>
      <c r="B87" s="445"/>
      <c r="C87" s="13"/>
      <c r="D87" s="13"/>
      <c r="E87" s="13"/>
      <c r="F87" s="13"/>
      <c r="G87" s="13"/>
      <c r="H87" s="14"/>
      <c r="I87" s="14"/>
      <c r="J87" s="14"/>
      <c r="K87" s="14"/>
      <c r="L87" s="14"/>
    </row>
    <row r="88" spans="1:12" x14ac:dyDescent="0.25">
      <c r="A88" s="94"/>
      <c r="B88" s="445" t="s">
        <v>1848</v>
      </c>
      <c r="C88" s="13"/>
      <c r="D88" s="13"/>
      <c r="E88" s="13"/>
      <c r="F88" s="13"/>
      <c r="G88" s="13"/>
      <c r="H88" s="14"/>
      <c r="I88" s="14"/>
      <c r="J88" s="14"/>
      <c r="K88" s="14"/>
      <c r="L88" s="14"/>
    </row>
    <row r="89" spans="1:12" x14ac:dyDescent="0.25">
      <c r="A89" s="94"/>
      <c r="B89" s="445"/>
      <c r="C89" s="13"/>
      <c r="D89" s="13"/>
      <c r="E89" s="844" t="s">
        <v>1138</v>
      </c>
      <c r="F89" s="13"/>
      <c r="G89" s="13"/>
      <c r="H89" s="14"/>
      <c r="I89" s="14"/>
      <c r="J89" s="14"/>
      <c r="K89" s="14"/>
      <c r="L89" s="14"/>
    </row>
    <row r="90" spans="1:12" x14ac:dyDescent="0.25">
      <c r="A90" s="13"/>
      <c r="B90" s="863" t="s">
        <v>1695</v>
      </c>
      <c r="C90" s="445" t="s">
        <v>1871</v>
      </c>
      <c r="D90" s="13"/>
      <c r="E90" s="567" t="s">
        <v>77</v>
      </c>
      <c r="F90" s="86"/>
      <c r="G90" s="86"/>
      <c r="H90" s="98"/>
      <c r="I90" s="98"/>
      <c r="J90" s="98"/>
      <c r="K90" s="14"/>
      <c r="L90" s="14"/>
    </row>
    <row r="91" spans="1:12" x14ac:dyDescent="0.25">
      <c r="B91" s="863" t="s">
        <v>1696</v>
      </c>
      <c r="C91" s="445" t="s">
        <v>1870</v>
      </c>
      <c r="D91" s="13"/>
      <c r="E91" s="567" t="s">
        <v>77</v>
      </c>
      <c r="F91" s="86"/>
      <c r="G91" s="86"/>
      <c r="H91" s="98"/>
      <c r="I91" s="98"/>
      <c r="J91" s="98"/>
      <c r="K91" s="14"/>
      <c r="L91" s="14"/>
    </row>
    <row r="92" spans="1:12" x14ac:dyDescent="0.25">
      <c r="B92" s="13"/>
      <c r="C92" s="445"/>
      <c r="D92" s="13"/>
      <c r="E92" s="514"/>
      <c r="F92" s="13"/>
      <c r="G92" s="13"/>
      <c r="H92" s="13"/>
      <c r="I92" s="14"/>
      <c r="J92" s="14"/>
      <c r="K92" s="14"/>
      <c r="L92" s="14"/>
    </row>
    <row r="93" spans="1:12" x14ac:dyDescent="0.25">
      <c r="B93" s="13"/>
      <c r="C93" s="13"/>
      <c r="D93" s="13"/>
      <c r="E93" s="104" t="s">
        <v>1444</v>
      </c>
      <c r="F93" s="844" t="s">
        <v>1138</v>
      </c>
      <c r="G93" s="13"/>
      <c r="H93" s="14"/>
      <c r="I93" s="14"/>
      <c r="J93" s="13"/>
    </row>
    <row r="94" spans="1:12" x14ac:dyDescent="0.25">
      <c r="B94" s="863" t="s">
        <v>1698</v>
      </c>
      <c r="C94" s="445" t="s">
        <v>1859</v>
      </c>
      <c r="D94" s="14"/>
      <c r="E94" s="926" t="s">
        <v>2193</v>
      </c>
      <c r="F94" s="13" t="str">
        <f>"1-Base TRR L "&amp;'1-BaseTRR'!A88&amp;""</f>
        <v>1-Base TRR L 51</v>
      </c>
      <c r="G94" s="13"/>
      <c r="H94" s="14"/>
      <c r="I94" s="14"/>
      <c r="J94" s="13"/>
    </row>
    <row r="95" spans="1:12" x14ac:dyDescent="0.25">
      <c r="B95" s="863" t="s">
        <v>1851</v>
      </c>
      <c r="C95" s="445" t="s">
        <v>1860</v>
      </c>
      <c r="D95" s="13"/>
      <c r="E95" s="926" t="s">
        <v>2193</v>
      </c>
      <c r="F95" s="13" t="str">
        <f>"1-Base TRR L "&amp;'1-BaseTRR'!A89&amp;""</f>
        <v>1-Base TRR L 52</v>
      </c>
      <c r="G95" s="13"/>
      <c r="H95" s="14"/>
      <c r="I95" s="14"/>
      <c r="J95" s="13"/>
    </row>
    <row r="96" spans="1:12" x14ac:dyDescent="0.25">
      <c r="B96" s="863" t="s">
        <v>1852</v>
      </c>
      <c r="C96" s="445" t="s">
        <v>1861</v>
      </c>
      <c r="D96" s="13"/>
      <c r="E96" s="927" t="s">
        <v>2193</v>
      </c>
      <c r="F96" s="13" t="str">
        <f>"1-Base TRR L "&amp;'1-BaseTRR'!A80&amp;" * Line d"</f>
        <v>1-Base TRR L 47 * Line d</v>
      </c>
      <c r="G96" s="14"/>
      <c r="H96" s="14"/>
      <c r="I96" s="13"/>
      <c r="J96" s="13"/>
    </row>
    <row r="97" spans="1:10" x14ac:dyDescent="0.25">
      <c r="A97" s="13"/>
      <c r="B97" s="863" t="s">
        <v>1853</v>
      </c>
      <c r="C97" s="40" t="s">
        <v>54</v>
      </c>
      <c r="D97" s="13"/>
      <c r="E97" s="926" t="s">
        <v>2193</v>
      </c>
      <c r="F97" s="56" t="str">
        <f>"Sum of Lines "&amp;B94&amp;" to "&amp;B96&amp;""</f>
        <v>Sum of Lines g to i</v>
      </c>
      <c r="G97" s="91"/>
      <c r="H97" s="13"/>
      <c r="I97" s="13"/>
      <c r="J97" s="891"/>
    </row>
    <row r="98" spans="1:10" x14ac:dyDescent="0.25">
      <c r="A98" s="94"/>
      <c r="B98" s="13"/>
      <c r="C98" s="19"/>
      <c r="D98" s="21"/>
      <c r="E98" s="56"/>
      <c r="F98" s="56"/>
      <c r="G98" s="91"/>
      <c r="H98" s="56"/>
      <c r="I98" s="13"/>
      <c r="J98" s="891"/>
    </row>
    <row r="99" spans="1:10" x14ac:dyDescent="0.25">
      <c r="A99" s="94"/>
      <c r="B99" s="445" t="s">
        <v>1854</v>
      </c>
      <c r="C99" s="13"/>
      <c r="D99" s="13"/>
      <c r="E99" s="13"/>
      <c r="F99" s="13"/>
      <c r="G99" s="13"/>
      <c r="H99" s="13"/>
      <c r="I99" s="13"/>
      <c r="J99" s="13"/>
    </row>
    <row r="100" spans="1:10" x14ac:dyDescent="0.25">
      <c r="A100" s="94"/>
      <c r="B100" s="13"/>
      <c r="C100" s="13"/>
      <c r="D100" s="13"/>
      <c r="E100" s="13"/>
      <c r="F100" s="13"/>
      <c r="G100" s="13"/>
      <c r="H100" s="13"/>
      <c r="I100" s="13"/>
      <c r="J100" s="13"/>
    </row>
    <row r="101" spans="1:10" x14ac:dyDescent="0.25">
      <c r="A101" s="94"/>
      <c r="B101" s="13"/>
      <c r="C101" s="13"/>
      <c r="D101" s="13"/>
      <c r="E101" s="104" t="s">
        <v>1444</v>
      </c>
      <c r="F101" s="844" t="s">
        <v>1138</v>
      </c>
      <c r="G101" s="13"/>
      <c r="H101" s="13"/>
      <c r="I101" s="13"/>
      <c r="J101" s="13"/>
    </row>
    <row r="102" spans="1:10" x14ac:dyDescent="0.25">
      <c r="A102" s="13"/>
      <c r="B102" s="94" t="s">
        <v>2203</v>
      </c>
      <c r="C102" s="13"/>
      <c r="D102" s="13"/>
      <c r="E102" s="926" t="s">
        <v>2193</v>
      </c>
      <c r="F102" s="56" t="str">
        <f>"Sum of Lines "&amp;B95&amp;" to "&amp;B96&amp;""</f>
        <v>Sum of Lines h to i</v>
      </c>
      <c r="G102" s="13"/>
      <c r="H102" s="13"/>
      <c r="I102" s="13"/>
      <c r="J102" s="13"/>
    </row>
    <row r="103" spans="1:10" x14ac:dyDescent="0.25">
      <c r="A103" s="94"/>
      <c r="B103" s="13"/>
      <c r="C103" s="13"/>
      <c r="D103" s="13"/>
      <c r="E103" s="60"/>
      <c r="F103" s="56"/>
      <c r="G103" s="13"/>
      <c r="H103" s="13"/>
      <c r="I103" s="13"/>
      <c r="J103" s="13"/>
    </row>
    <row r="104" spans="1:10" x14ac:dyDescent="0.25">
      <c r="A104" s="94"/>
      <c r="B104" s="859"/>
      <c r="C104" s="13"/>
      <c r="D104" s="13"/>
      <c r="E104" s="91"/>
      <c r="F104" s="91"/>
      <c r="G104" s="91"/>
      <c r="H104" s="56"/>
      <c r="I104" s="13"/>
      <c r="J104" s="13"/>
    </row>
    <row r="105" spans="1:10" x14ac:dyDescent="0.25">
      <c r="A105" s="94"/>
      <c r="B105" s="855"/>
      <c r="C105" s="13"/>
      <c r="D105" s="13"/>
      <c r="E105" s="13"/>
      <c r="F105" s="13"/>
      <c r="G105" s="13"/>
      <c r="H105" s="13"/>
      <c r="I105" s="13"/>
      <c r="J105" s="13"/>
    </row>
    <row r="106" spans="1:10" x14ac:dyDescent="0.25">
      <c r="A106" s="2"/>
      <c r="B106" s="855"/>
      <c r="C106" s="13"/>
      <c r="D106" s="94"/>
      <c r="E106" s="94"/>
      <c r="F106" s="94"/>
      <c r="G106" s="94"/>
      <c r="H106" s="94"/>
      <c r="I106" s="13"/>
      <c r="J106" s="13"/>
    </row>
    <row r="107" spans="1:10" x14ac:dyDescent="0.25">
      <c r="A107" s="2"/>
      <c r="B107" s="859"/>
      <c r="C107" s="13"/>
      <c r="D107" s="94"/>
      <c r="E107" s="94"/>
      <c r="F107" s="94"/>
      <c r="G107" s="94"/>
      <c r="H107" s="94"/>
      <c r="I107" s="13"/>
      <c r="J107" s="13"/>
    </row>
    <row r="108" spans="1:10" x14ac:dyDescent="0.25">
      <c r="A108" s="2"/>
      <c r="B108" s="13"/>
      <c r="C108" s="24"/>
      <c r="D108" s="24"/>
      <c r="E108" s="104"/>
      <c r="F108" s="104"/>
      <c r="G108" s="104"/>
      <c r="H108" s="104"/>
      <c r="I108" s="13"/>
      <c r="J108" s="13"/>
    </row>
    <row r="109" spans="1:10" x14ac:dyDescent="0.25">
      <c r="A109" s="2"/>
    </row>
    <row r="110" spans="1:10" x14ac:dyDescent="0.25">
      <c r="A110" s="2"/>
    </row>
    <row r="111" spans="1:10" x14ac:dyDescent="0.25">
      <c r="A111" s="2"/>
    </row>
    <row r="112" spans="1:10" x14ac:dyDescent="0.25">
      <c r="A112" s="2"/>
      <c r="C112" s="19"/>
      <c r="E112" s="56"/>
      <c r="F112" s="56"/>
      <c r="H112" s="6"/>
      <c r="J112" s="74"/>
    </row>
    <row r="113" spans="1:10" x14ac:dyDescent="0.25">
      <c r="A113" s="2"/>
      <c r="C113" s="19"/>
      <c r="E113" s="56"/>
      <c r="F113" s="56"/>
      <c r="H113" s="6"/>
      <c r="J113" s="74"/>
    </row>
    <row r="114" spans="1:10" x14ac:dyDescent="0.25">
      <c r="A114" s="46"/>
      <c r="C114" s="19"/>
      <c r="E114" s="56"/>
      <c r="F114" s="56"/>
      <c r="H114" s="6"/>
      <c r="J114" s="74"/>
    </row>
    <row r="115" spans="1:10" x14ac:dyDescent="0.25">
      <c r="A115" s="2"/>
      <c r="D115" s="28"/>
      <c r="E115" s="56"/>
      <c r="F115" s="56"/>
      <c r="G115" s="11"/>
      <c r="H115" s="6"/>
      <c r="J115" s="74"/>
    </row>
    <row r="116" spans="1:10" x14ac:dyDescent="0.25">
      <c r="A116" s="2"/>
      <c r="C116" s="19"/>
      <c r="D116" s="83"/>
      <c r="E116" s="82"/>
      <c r="F116" s="6"/>
      <c r="G116" s="11"/>
      <c r="H116" s="6"/>
      <c r="J116" s="74"/>
    </row>
    <row r="117" spans="1:10" x14ac:dyDescent="0.25">
      <c r="A117" s="2"/>
      <c r="C117" s="19"/>
      <c r="D117" s="83"/>
      <c r="E117" s="6"/>
      <c r="F117" s="6"/>
      <c r="G117" s="11"/>
      <c r="H117" s="6"/>
      <c r="J117" s="74"/>
    </row>
    <row r="118" spans="1:10" x14ac:dyDescent="0.25">
      <c r="A118" s="2"/>
    </row>
    <row r="119" spans="1:10" x14ac:dyDescent="0.25">
      <c r="A119" s="2"/>
      <c r="B119" s="1"/>
    </row>
    <row r="120" spans="1:10" x14ac:dyDescent="0.25">
      <c r="A120" s="2"/>
    </row>
    <row r="121" spans="1:10" x14ac:dyDescent="0.25">
      <c r="A121" s="2"/>
    </row>
    <row r="122" spans="1:10" x14ac:dyDescent="0.25">
      <c r="A122" s="2"/>
      <c r="F122" s="2"/>
    </row>
    <row r="123" spans="1:10" x14ac:dyDescent="0.25">
      <c r="A123" s="2"/>
      <c r="F123" s="2"/>
    </row>
    <row r="124" spans="1:10" x14ac:dyDescent="0.25">
      <c r="A124" s="2"/>
      <c r="D124" s="2"/>
      <c r="E124" s="2"/>
      <c r="F124" s="2"/>
      <c r="H124" s="2"/>
    </row>
    <row r="125" spans="1:10" x14ac:dyDescent="0.25">
      <c r="A125" s="2"/>
      <c r="D125" s="2"/>
      <c r="E125" s="2"/>
      <c r="F125" s="2"/>
      <c r="G125" s="2"/>
      <c r="H125" s="4"/>
    </row>
    <row r="126" spans="1:10" x14ac:dyDescent="0.25">
      <c r="A126" s="46"/>
      <c r="C126" s="22"/>
      <c r="D126" s="22"/>
      <c r="E126" s="3"/>
      <c r="F126" s="76"/>
      <c r="G126" s="3"/>
      <c r="H126" s="4"/>
    </row>
    <row r="127" spans="1:10" x14ac:dyDescent="0.25">
      <c r="A127" s="2"/>
      <c r="C127" s="18"/>
      <c r="D127" s="21"/>
      <c r="E127" s="56"/>
      <c r="F127" s="56"/>
      <c r="G127" s="71"/>
      <c r="H127" s="6"/>
    </row>
    <row r="128" spans="1:10" x14ac:dyDescent="0.25">
      <c r="A128" s="2"/>
      <c r="C128" s="19"/>
      <c r="D128" s="21"/>
      <c r="E128" s="56"/>
      <c r="F128" s="56"/>
      <c r="G128" s="71"/>
      <c r="H128" s="6"/>
    </row>
    <row r="129" spans="1:8" x14ac:dyDescent="0.25">
      <c r="A129" s="2"/>
      <c r="C129" s="19"/>
      <c r="D129" s="21"/>
      <c r="E129" s="56"/>
      <c r="F129" s="56"/>
      <c r="G129" s="71"/>
      <c r="H129" s="6"/>
    </row>
    <row r="130" spans="1:8" x14ac:dyDescent="0.25">
      <c r="A130" s="2"/>
      <c r="C130" s="18"/>
      <c r="D130" s="21"/>
      <c r="E130" s="56"/>
      <c r="F130" s="56"/>
      <c r="G130" s="71"/>
      <c r="H130" s="6"/>
    </row>
    <row r="131" spans="1:8" x14ac:dyDescent="0.25">
      <c r="A131" s="2"/>
      <c r="C131" s="19"/>
      <c r="D131" s="21"/>
      <c r="E131" s="56"/>
      <c r="F131" s="56"/>
      <c r="G131" s="71"/>
      <c r="H131" s="6"/>
    </row>
    <row r="132" spans="1:8" x14ac:dyDescent="0.25">
      <c r="A132" s="2"/>
      <c r="C132" s="19"/>
      <c r="D132" s="21"/>
      <c r="E132" s="56"/>
      <c r="F132" s="56"/>
      <c r="G132" s="71"/>
      <c r="H132" s="6"/>
    </row>
    <row r="133" spans="1:8" x14ac:dyDescent="0.25">
      <c r="A133" s="2"/>
      <c r="C133" s="18"/>
      <c r="D133" s="21"/>
      <c r="E133" s="56"/>
      <c r="F133" s="56"/>
      <c r="G133" s="71"/>
      <c r="H133" s="6"/>
    </row>
    <row r="134" spans="1:8" x14ac:dyDescent="0.25">
      <c r="A134" s="2"/>
      <c r="C134" s="19"/>
      <c r="D134" s="21"/>
      <c r="E134" s="56"/>
      <c r="F134" s="56"/>
      <c r="G134" s="71"/>
      <c r="H134" s="6"/>
    </row>
    <row r="135" spans="1:8" x14ac:dyDescent="0.25">
      <c r="A135" s="2"/>
      <c r="C135" s="19"/>
      <c r="D135" s="21"/>
      <c r="E135" s="56"/>
      <c r="F135" s="56"/>
      <c r="G135" s="71"/>
      <c r="H135" s="6"/>
    </row>
    <row r="136" spans="1:8" x14ac:dyDescent="0.25">
      <c r="A136" s="2"/>
      <c r="C136" s="18"/>
      <c r="D136" s="21"/>
      <c r="E136" s="56"/>
      <c r="F136" s="56"/>
      <c r="G136" s="71"/>
      <c r="H136" s="6"/>
    </row>
    <row r="137" spans="1:8" x14ac:dyDescent="0.25">
      <c r="A137" s="2"/>
      <c r="C137" s="18"/>
      <c r="D137" s="21"/>
      <c r="E137" s="56"/>
      <c r="F137" s="56"/>
      <c r="G137" s="71"/>
      <c r="H137" s="6"/>
    </row>
    <row r="138" spans="1:8" x14ac:dyDescent="0.25">
      <c r="A138" s="2"/>
      <c r="C138" s="19"/>
      <c r="D138" s="21"/>
      <c r="E138" s="56"/>
      <c r="F138" s="56"/>
      <c r="G138" s="71"/>
      <c r="H138" s="50"/>
    </row>
    <row r="139" spans="1:8" x14ac:dyDescent="0.25">
      <c r="A139" s="2"/>
      <c r="E139" s="13"/>
      <c r="F139" s="13"/>
      <c r="G139" s="13"/>
      <c r="H139" s="6"/>
    </row>
    <row r="140" spans="1:8" x14ac:dyDescent="0.25">
      <c r="A140" s="2"/>
      <c r="C140" s="19"/>
      <c r="D140" s="21"/>
      <c r="E140" s="13"/>
      <c r="F140" s="125"/>
      <c r="G140" s="71"/>
      <c r="H140" s="64"/>
    </row>
    <row r="141" spans="1:8" x14ac:dyDescent="0.25">
      <c r="A141" s="2"/>
      <c r="B141" s="1"/>
      <c r="C141" s="19"/>
      <c r="D141" s="21"/>
      <c r="E141" s="13"/>
      <c r="F141" s="125"/>
      <c r="G141" s="71"/>
      <c r="H141" s="64"/>
    </row>
    <row r="142" spans="1:8" x14ac:dyDescent="0.25">
      <c r="A142" s="46"/>
      <c r="B142" s="1"/>
      <c r="C142" s="19"/>
      <c r="D142" s="21"/>
      <c r="E142" s="13"/>
      <c r="F142" s="125"/>
      <c r="G142" s="71"/>
      <c r="H142" s="64"/>
    </row>
    <row r="143" spans="1:8" x14ac:dyDescent="0.25">
      <c r="A143" s="2"/>
      <c r="C143" s="19"/>
      <c r="D143" s="77"/>
      <c r="E143" s="56"/>
      <c r="F143" s="126"/>
      <c r="G143" s="71"/>
      <c r="H143" s="64"/>
    </row>
    <row r="144" spans="1:8" x14ac:dyDescent="0.25">
      <c r="A144" s="2"/>
      <c r="C144" s="19"/>
      <c r="D144" s="30"/>
      <c r="E144" s="56"/>
      <c r="F144" s="126"/>
      <c r="G144" s="71"/>
      <c r="H144" s="64"/>
    </row>
    <row r="145" spans="1:10" x14ac:dyDescent="0.25">
      <c r="A145" s="2"/>
      <c r="C145" s="19"/>
      <c r="D145" s="30"/>
      <c r="E145" s="50"/>
      <c r="F145" s="99"/>
      <c r="G145" s="71"/>
      <c r="H145" s="64"/>
    </row>
    <row r="146" spans="1:10" x14ac:dyDescent="0.25">
      <c r="A146" s="2"/>
      <c r="C146" s="19"/>
      <c r="D146" s="77"/>
      <c r="E146" s="6"/>
      <c r="F146" s="64"/>
      <c r="G146" s="71"/>
      <c r="H146" s="64"/>
    </row>
    <row r="147" spans="1:10" x14ac:dyDescent="0.25">
      <c r="A147" s="2"/>
      <c r="C147" s="19"/>
      <c r="D147" s="21"/>
      <c r="F147" s="64"/>
      <c r="G147" s="71"/>
      <c r="H147" s="64"/>
    </row>
    <row r="148" spans="1:10" x14ac:dyDescent="0.25">
      <c r="A148" s="2"/>
    </row>
    <row r="149" spans="1:10" x14ac:dyDescent="0.25">
      <c r="A149" s="2"/>
    </row>
    <row r="150" spans="1:10" x14ac:dyDescent="0.25">
      <c r="A150" s="2"/>
    </row>
    <row r="151" spans="1:10" x14ac:dyDescent="0.25">
      <c r="A151" s="2"/>
      <c r="B151" s="1"/>
    </row>
    <row r="152" spans="1:10" x14ac:dyDescent="0.25">
      <c r="A152" s="2"/>
      <c r="B152" s="11"/>
    </row>
    <row r="153" spans="1:10" x14ac:dyDescent="0.25">
      <c r="A153" s="2"/>
      <c r="B153" s="11"/>
    </row>
    <row r="154" spans="1:10" x14ac:dyDescent="0.25">
      <c r="A154" s="2"/>
      <c r="B154" s="11"/>
    </row>
    <row r="155" spans="1:10" x14ac:dyDescent="0.25">
      <c r="A155" s="2"/>
    </row>
    <row r="156" spans="1:10" x14ac:dyDescent="0.25">
      <c r="A156" s="2"/>
      <c r="B156" s="1"/>
    </row>
    <row r="157" spans="1:10" x14ac:dyDescent="0.25">
      <c r="A157" s="2"/>
    </row>
    <row r="158" spans="1:10" x14ac:dyDescent="0.25">
      <c r="A158" s="46"/>
      <c r="C158" s="22"/>
      <c r="D158" s="3"/>
      <c r="G158" s="13"/>
      <c r="H158" s="13"/>
      <c r="I158" s="13"/>
      <c r="J158" s="13"/>
    </row>
    <row r="159" spans="1:10" x14ac:dyDescent="0.25">
      <c r="A159" s="2"/>
      <c r="C159" s="18"/>
      <c r="D159" s="123"/>
      <c r="F159" s="7"/>
      <c r="G159" s="13"/>
      <c r="H159" s="13"/>
      <c r="I159" s="13"/>
      <c r="J159" s="13"/>
    </row>
    <row r="160" spans="1:10" x14ac:dyDescent="0.25">
      <c r="A160" s="2"/>
      <c r="C160" s="19"/>
      <c r="D160" s="123"/>
      <c r="F160" s="7"/>
      <c r="G160" s="13"/>
      <c r="H160" s="13"/>
      <c r="I160" s="13"/>
      <c r="J160" s="13"/>
    </row>
    <row r="161" spans="1:10" x14ac:dyDescent="0.25">
      <c r="A161" s="2"/>
      <c r="C161" s="19"/>
      <c r="D161" s="123"/>
      <c r="F161" s="7"/>
      <c r="G161" s="13"/>
      <c r="H161" s="13"/>
      <c r="I161" s="13"/>
      <c r="J161" s="13"/>
    </row>
    <row r="162" spans="1:10" x14ac:dyDescent="0.25">
      <c r="A162" s="2"/>
      <c r="C162" s="18"/>
      <c r="D162" s="123"/>
      <c r="F162" s="7"/>
      <c r="G162" s="13"/>
      <c r="H162" s="13"/>
      <c r="I162" s="13"/>
      <c r="J162" s="13"/>
    </row>
    <row r="163" spans="1:10" x14ac:dyDescent="0.25">
      <c r="A163" s="2"/>
      <c r="C163" s="19"/>
      <c r="D163" s="123"/>
      <c r="F163" s="7"/>
      <c r="G163" s="13"/>
      <c r="H163" s="13"/>
      <c r="I163" s="13"/>
      <c r="J163" s="13"/>
    </row>
    <row r="164" spans="1:10" x14ac:dyDescent="0.25">
      <c r="A164" s="2"/>
      <c r="C164" s="19"/>
      <c r="D164" s="123"/>
      <c r="F164" s="7"/>
      <c r="G164" s="13"/>
      <c r="H164" s="13"/>
      <c r="I164" s="13"/>
      <c r="J164" s="13"/>
    </row>
    <row r="165" spans="1:10" x14ac:dyDescent="0.25">
      <c r="A165" s="2"/>
      <c r="C165" s="18"/>
      <c r="D165" s="123"/>
      <c r="F165" s="7"/>
      <c r="G165" s="13"/>
      <c r="H165" s="13"/>
      <c r="I165" s="13"/>
      <c r="J165" s="13"/>
    </row>
    <row r="166" spans="1:10" x14ac:dyDescent="0.25">
      <c r="A166" s="2"/>
      <c r="C166" s="19"/>
      <c r="D166" s="123"/>
      <c r="F166" s="7"/>
      <c r="G166" s="13"/>
      <c r="H166" s="13"/>
      <c r="I166" s="13"/>
      <c r="J166" s="13"/>
    </row>
    <row r="167" spans="1:10" x14ac:dyDescent="0.25">
      <c r="A167" s="2"/>
      <c r="C167" s="19"/>
      <c r="D167" s="123"/>
      <c r="F167" s="7"/>
      <c r="G167" s="13"/>
      <c r="H167" s="13"/>
      <c r="I167" s="13"/>
      <c r="J167" s="13"/>
    </row>
    <row r="168" spans="1:10" x14ac:dyDescent="0.25">
      <c r="A168" s="2"/>
      <c r="C168" s="18"/>
      <c r="D168" s="123"/>
      <c r="F168" s="7"/>
      <c r="G168" s="13"/>
      <c r="H168" s="13"/>
      <c r="I168" s="13"/>
      <c r="J168" s="13"/>
    </row>
    <row r="169" spans="1:10" x14ac:dyDescent="0.25">
      <c r="A169" s="2"/>
      <c r="C169" s="18"/>
      <c r="D169" s="123"/>
      <c r="F169" s="7"/>
    </row>
    <row r="170" spans="1:10" x14ac:dyDescent="0.25">
      <c r="A170" s="2"/>
      <c r="C170" s="19"/>
      <c r="D170" s="124"/>
      <c r="F170" s="73"/>
    </row>
    <row r="171" spans="1:10" x14ac:dyDescent="0.25">
      <c r="A171" s="2"/>
      <c r="C171" s="28"/>
      <c r="D171" s="123"/>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2" max="16383" man="1"/>
    <brk id="118" max="9" man="1"/>
    <brk id="1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86" t="s">
        <v>304</v>
      </c>
      <c r="K1" s="13"/>
      <c r="L1" s="13"/>
    </row>
    <row r="2" spans="1:28" x14ac:dyDescent="0.25">
      <c r="B2" s="1"/>
      <c r="I2" s="527"/>
      <c r="J2" s="527" t="s">
        <v>170</v>
      </c>
      <c r="L2" s="216" t="s">
        <v>1388</v>
      </c>
    </row>
    <row r="3" spans="1:28" x14ac:dyDescent="0.25">
      <c r="I3" s="3" t="s">
        <v>169</v>
      </c>
      <c r="J3" s="3" t="s">
        <v>171</v>
      </c>
      <c r="L3" s="3" t="s">
        <v>172</v>
      </c>
    </row>
    <row r="5" spans="1:28" x14ac:dyDescent="0.25">
      <c r="A5" s="9" t="s">
        <v>178</v>
      </c>
      <c r="B5" s="100"/>
      <c r="C5" s="10"/>
      <c r="D5" s="10"/>
      <c r="E5" s="10"/>
      <c r="F5" s="10"/>
      <c r="G5" s="10"/>
      <c r="H5" s="10"/>
      <c r="I5" s="8"/>
      <c r="J5" s="8"/>
      <c r="K5" s="8"/>
      <c r="L5" s="8"/>
      <c r="N5" s="532"/>
      <c r="O5" s="533"/>
      <c r="P5" s="533"/>
      <c r="Q5" s="533"/>
      <c r="R5" s="533"/>
      <c r="S5" s="533"/>
      <c r="T5" s="533"/>
    </row>
    <row r="6" spans="1:28" x14ac:dyDescent="0.25">
      <c r="B6" s="38"/>
      <c r="C6" s="445"/>
      <c r="D6" s="445"/>
      <c r="E6" s="445"/>
      <c r="F6" s="445"/>
      <c r="G6" s="445"/>
      <c r="H6" s="445"/>
      <c r="I6" s="445"/>
      <c r="J6" s="445"/>
      <c r="K6" s="445"/>
      <c r="L6" s="445"/>
      <c r="O6" s="318"/>
      <c r="P6" s="318"/>
      <c r="Q6" s="318"/>
      <c r="R6" s="318"/>
      <c r="S6" s="318"/>
      <c r="T6" s="318"/>
      <c r="U6" s="318"/>
      <c r="V6" s="318"/>
      <c r="W6" s="318"/>
      <c r="X6" s="318"/>
      <c r="Y6" s="318"/>
      <c r="Z6" s="318"/>
      <c r="AA6" s="318"/>
      <c r="AB6" s="318"/>
    </row>
    <row r="7" spans="1:28" x14ac:dyDescent="0.25">
      <c r="A7" s="46" t="s">
        <v>322</v>
      </c>
      <c r="B7" s="38"/>
      <c r="C7" s="39" t="s">
        <v>271</v>
      </c>
      <c r="D7" s="445"/>
      <c r="E7" s="445"/>
      <c r="F7" s="445"/>
      <c r="G7" s="445"/>
      <c r="H7" s="445"/>
      <c r="I7" s="445"/>
      <c r="J7" s="443"/>
      <c r="K7" s="445"/>
      <c r="L7" s="445"/>
      <c r="N7" s="534"/>
      <c r="O7" s="72"/>
      <c r="P7" s="535"/>
      <c r="Q7" s="514"/>
      <c r="R7" s="514"/>
      <c r="S7" s="514"/>
      <c r="T7" s="514"/>
      <c r="U7" s="514"/>
      <c r="V7" s="514"/>
      <c r="W7" s="514"/>
      <c r="X7" s="514"/>
      <c r="Y7" s="514"/>
      <c r="Z7" s="514"/>
      <c r="AA7" s="514"/>
      <c r="AB7" s="514"/>
    </row>
    <row r="8" spans="1:28" x14ac:dyDescent="0.25">
      <c r="A8" s="94">
        <v>1</v>
      </c>
      <c r="B8" s="38"/>
      <c r="C8" s="445" t="s">
        <v>207</v>
      </c>
      <c r="D8" s="445"/>
      <c r="E8" s="445"/>
      <c r="F8" s="445"/>
      <c r="G8" s="445"/>
      <c r="H8" s="445"/>
      <c r="I8" s="445" t="s">
        <v>1628</v>
      </c>
      <c r="J8" s="442" t="str">
        <f>"5-ROR-2, Line "&amp;'5-ROR-2'!A8&amp;""</f>
        <v>5-ROR-2, Line 1</v>
      </c>
      <c r="K8" s="445"/>
      <c r="L8" s="924">
        <v>0</v>
      </c>
      <c r="N8" s="94"/>
      <c r="O8" s="457"/>
      <c r="P8" s="457"/>
      <c r="Q8" s="457"/>
      <c r="R8" s="457"/>
      <c r="S8" s="457"/>
      <c r="T8" s="457"/>
      <c r="U8" s="457"/>
      <c r="V8" s="457"/>
      <c r="W8" s="457"/>
      <c r="X8" s="457"/>
      <c r="Y8" s="457"/>
      <c r="Z8" s="457"/>
      <c r="AA8" s="457"/>
      <c r="AB8" s="457"/>
    </row>
    <row r="9" spans="1:28" x14ac:dyDescent="0.25">
      <c r="A9" s="94">
        <f>A8+1</f>
        <v>2</v>
      </c>
      <c r="B9" s="38"/>
      <c r="C9" s="445" t="s">
        <v>208</v>
      </c>
      <c r="D9" s="445"/>
      <c r="E9" s="445"/>
      <c r="F9" s="445"/>
      <c r="G9" s="445"/>
      <c r="H9" s="445"/>
      <c r="I9" s="445" t="s">
        <v>1628</v>
      </c>
      <c r="J9" s="442" t="str">
        <f>"5-ROR-2, Line "&amp;'5-ROR-2'!A10&amp;""</f>
        <v>5-ROR-2, Line 2</v>
      </c>
      <c r="K9" s="445"/>
      <c r="L9" s="924">
        <v>0</v>
      </c>
      <c r="N9" s="94"/>
      <c r="O9" s="457"/>
      <c r="P9" s="457"/>
      <c r="Q9" s="457"/>
      <c r="R9" s="457"/>
      <c r="S9" s="457"/>
      <c r="T9" s="457"/>
      <c r="U9" s="457"/>
      <c r="V9" s="457"/>
      <c r="W9" s="457"/>
      <c r="X9" s="457"/>
      <c r="Y9" s="457"/>
      <c r="Z9" s="457"/>
      <c r="AA9" s="457"/>
      <c r="AB9" s="457"/>
    </row>
    <row r="10" spans="1:28" x14ac:dyDescent="0.25">
      <c r="A10" s="94">
        <v>3</v>
      </c>
      <c r="B10" s="38"/>
      <c r="C10" s="445" t="s">
        <v>1842</v>
      </c>
      <c r="D10" s="892"/>
      <c r="E10" s="892"/>
      <c r="F10" s="892"/>
      <c r="G10" s="892"/>
      <c r="H10" s="892"/>
      <c r="I10" s="445" t="s">
        <v>1628</v>
      </c>
      <c r="J10" s="442" t="str">
        <f>"5-ROR-2, Line "&amp;'5-ROR-2'!A12&amp;""</f>
        <v>5-ROR-2, Line 3</v>
      </c>
      <c r="K10" s="445"/>
      <c r="L10" s="924">
        <v>0</v>
      </c>
      <c r="N10" s="94"/>
      <c r="O10" s="457"/>
      <c r="P10" s="457"/>
      <c r="Q10" s="457"/>
      <c r="R10" s="457"/>
      <c r="S10" s="457"/>
      <c r="T10" s="457"/>
      <c r="U10" s="457"/>
      <c r="V10" s="457"/>
      <c r="W10" s="457"/>
      <c r="X10" s="457"/>
      <c r="Y10" s="457"/>
      <c r="Z10" s="457"/>
      <c r="AA10" s="457"/>
      <c r="AB10" s="457"/>
    </row>
    <row r="11" spans="1:28" x14ac:dyDescent="0.25">
      <c r="A11" s="94">
        <v>4</v>
      </c>
      <c r="B11" s="38"/>
      <c r="C11" s="445" t="s">
        <v>209</v>
      </c>
      <c r="D11" s="445"/>
      <c r="E11" s="445"/>
      <c r="F11" s="445"/>
      <c r="G11" s="445"/>
      <c r="H11" s="445"/>
      <c r="I11" s="445" t="s">
        <v>1628</v>
      </c>
      <c r="J11" s="442" t="str">
        <f>"5-ROR-2, Line "&amp;'5-ROR-2'!A14&amp;""</f>
        <v>5-ROR-2, Line 4</v>
      </c>
      <c r="K11" s="445"/>
      <c r="L11" s="924">
        <v>0</v>
      </c>
      <c r="N11" s="94"/>
      <c r="O11" s="457"/>
      <c r="P11" s="457"/>
      <c r="Q11" s="457"/>
      <c r="R11" s="457"/>
      <c r="S11" s="457"/>
      <c r="T11" s="457"/>
      <c r="U11" s="457"/>
      <c r="V11" s="457"/>
      <c r="W11" s="457"/>
      <c r="X11" s="457"/>
      <c r="Y11" s="457"/>
      <c r="Z11" s="457"/>
      <c r="AA11" s="457"/>
      <c r="AB11" s="457"/>
    </row>
    <row r="12" spans="1:28" x14ac:dyDescent="0.25">
      <c r="A12" s="94">
        <v>5</v>
      </c>
      <c r="B12" s="38"/>
      <c r="C12" s="445" t="s">
        <v>2636</v>
      </c>
      <c r="D12" s="445"/>
      <c r="E12" s="445"/>
      <c r="F12" s="445"/>
      <c r="G12" s="445"/>
      <c r="H12" s="445"/>
      <c r="I12" s="445" t="s">
        <v>2642</v>
      </c>
      <c r="J12" s="442" t="s">
        <v>2643</v>
      </c>
      <c r="K12" s="445"/>
      <c r="L12" s="924">
        <v>0</v>
      </c>
      <c r="N12" s="94"/>
      <c r="O12" s="457"/>
      <c r="P12" s="457"/>
      <c r="Q12" s="457"/>
      <c r="R12" s="457"/>
      <c r="S12" s="457"/>
      <c r="T12" s="457"/>
      <c r="U12" s="457"/>
      <c r="V12" s="457"/>
      <c r="W12" s="457"/>
      <c r="X12" s="457"/>
      <c r="Y12" s="457"/>
      <c r="Z12" s="457"/>
      <c r="AA12" s="457"/>
      <c r="AB12" s="457"/>
    </row>
    <row r="13" spans="1:28" x14ac:dyDescent="0.25">
      <c r="A13" s="94">
        <v>6</v>
      </c>
      <c r="B13" s="38"/>
      <c r="C13" s="445" t="s">
        <v>2637</v>
      </c>
      <c r="D13" s="445"/>
      <c r="E13" s="445"/>
      <c r="F13" s="445"/>
      <c r="G13" s="445"/>
      <c r="H13" s="445"/>
      <c r="I13" s="445" t="s">
        <v>2642</v>
      </c>
      <c r="J13" s="442" t="s">
        <v>2644</v>
      </c>
      <c r="K13" s="445"/>
      <c r="L13" s="924">
        <v>0</v>
      </c>
      <c r="N13" s="94"/>
      <c r="O13" s="457"/>
      <c r="P13" s="457"/>
      <c r="Q13" s="457"/>
      <c r="R13" s="457"/>
      <c r="S13" s="457"/>
      <c r="T13" s="457"/>
      <c r="U13" s="457"/>
      <c r="V13" s="457"/>
      <c r="W13" s="457"/>
      <c r="X13" s="457"/>
      <c r="Y13" s="457"/>
      <c r="Z13" s="457"/>
      <c r="AA13" s="457"/>
      <c r="AB13" s="457"/>
    </row>
    <row r="14" spans="1:28" x14ac:dyDescent="0.25">
      <c r="A14" s="94">
        <v>7</v>
      </c>
      <c r="B14" s="38"/>
      <c r="C14" s="445" t="s">
        <v>2638</v>
      </c>
      <c r="D14" s="445"/>
      <c r="E14" s="445"/>
      <c r="F14" s="445"/>
      <c r="G14" s="445"/>
      <c r="H14" s="445"/>
      <c r="I14" s="445" t="s">
        <v>2642</v>
      </c>
      <c r="J14" s="442" t="s">
        <v>2645</v>
      </c>
      <c r="K14" s="445"/>
      <c r="L14" s="924">
        <v>0</v>
      </c>
      <c r="N14" s="94"/>
      <c r="O14" s="457"/>
      <c r="P14" s="457"/>
      <c r="Q14" s="457"/>
      <c r="R14" s="457"/>
      <c r="S14" s="457"/>
      <c r="T14" s="457"/>
      <c r="U14" s="457"/>
      <c r="V14" s="457"/>
      <c r="W14" s="457"/>
      <c r="X14" s="457"/>
      <c r="Y14" s="457"/>
      <c r="Z14" s="457"/>
      <c r="AA14" s="457"/>
      <c r="AB14" s="457"/>
    </row>
    <row r="15" spans="1:28" x14ac:dyDescent="0.25">
      <c r="A15" s="94">
        <v>8</v>
      </c>
      <c r="B15" s="38"/>
      <c r="C15" s="445" t="s">
        <v>260</v>
      </c>
      <c r="D15" s="445"/>
      <c r="E15" s="445"/>
      <c r="F15" s="445"/>
      <c r="G15" s="445"/>
      <c r="H15" s="445"/>
      <c r="I15" s="445"/>
      <c r="J15" s="442" t="s">
        <v>2646</v>
      </c>
      <c r="K15" s="445"/>
      <c r="L15" s="926" t="s">
        <v>2193</v>
      </c>
      <c r="N15" s="94"/>
      <c r="O15" s="457"/>
      <c r="P15" s="457"/>
      <c r="Q15" s="457"/>
      <c r="R15" s="457"/>
      <c r="S15" s="457"/>
      <c r="T15" s="457"/>
      <c r="U15" s="457"/>
      <c r="V15" s="457"/>
      <c r="W15" s="457"/>
      <c r="X15" s="457"/>
      <c r="Y15" s="457"/>
      <c r="Z15" s="457"/>
      <c r="AA15" s="457"/>
      <c r="AB15" s="457"/>
    </row>
    <row r="16" spans="1:28" x14ac:dyDescent="0.25">
      <c r="A16" s="94">
        <v>9</v>
      </c>
      <c r="B16" s="38"/>
      <c r="C16" s="445" t="s">
        <v>2639</v>
      </c>
      <c r="D16" s="445"/>
      <c r="E16" s="445"/>
      <c r="F16" s="445"/>
      <c r="G16" s="445"/>
      <c r="H16" s="445"/>
      <c r="I16" s="445"/>
      <c r="J16" s="442" t="s">
        <v>2647</v>
      </c>
      <c r="K16" s="445"/>
      <c r="L16" s="924">
        <v>0</v>
      </c>
      <c r="N16" s="94"/>
      <c r="O16" s="457"/>
      <c r="P16" s="457"/>
      <c r="Q16" s="457"/>
      <c r="R16" s="457"/>
      <c r="S16" s="457"/>
      <c r="T16" s="457"/>
      <c r="U16" s="457"/>
      <c r="V16" s="457"/>
      <c r="W16" s="457"/>
      <c r="X16" s="457"/>
      <c r="Y16" s="457"/>
      <c r="Z16" s="457"/>
      <c r="AA16" s="457"/>
      <c r="AB16" s="457"/>
    </row>
    <row r="17" spans="1:28" x14ac:dyDescent="0.25">
      <c r="A17" s="94">
        <v>10</v>
      </c>
      <c r="B17" s="38"/>
      <c r="C17" s="445" t="s">
        <v>2640</v>
      </c>
      <c r="D17" s="445"/>
      <c r="E17" s="445"/>
      <c r="F17" s="445"/>
      <c r="G17" s="445"/>
      <c r="H17" s="445"/>
      <c r="I17" s="445" t="s">
        <v>2642</v>
      </c>
      <c r="J17" s="442" t="s">
        <v>2648</v>
      </c>
      <c r="K17" s="445"/>
      <c r="L17" s="924">
        <v>0</v>
      </c>
      <c r="N17" s="94"/>
      <c r="O17" s="457"/>
      <c r="P17" s="457"/>
      <c r="Q17" s="457"/>
      <c r="R17" s="457"/>
      <c r="S17" s="457"/>
      <c r="T17" s="457"/>
      <c r="U17" s="457"/>
      <c r="V17" s="457"/>
      <c r="W17" s="457"/>
      <c r="X17" s="457"/>
      <c r="Y17" s="457"/>
      <c r="Z17" s="457"/>
      <c r="AA17" s="457"/>
      <c r="AB17" s="457"/>
    </row>
    <row r="18" spans="1:28" x14ac:dyDescent="0.25">
      <c r="A18" s="94">
        <v>11</v>
      </c>
      <c r="B18" s="38"/>
      <c r="C18" s="445" t="s">
        <v>2641</v>
      </c>
      <c r="D18" s="445"/>
      <c r="E18" s="445"/>
      <c r="F18" s="445"/>
      <c r="G18" s="445"/>
      <c r="H18" s="445"/>
      <c r="I18" s="445"/>
      <c r="J18" s="442" t="s">
        <v>2649</v>
      </c>
      <c r="K18" s="445"/>
      <c r="L18" s="930">
        <v>0</v>
      </c>
      <c r="N18" s="94"/>
      <c r="O18" s="457"/>
      <c r="P18" s="457"/>
      <c r="Q18" s="457"/>
      <c r="R18" s="457"/>
      <c r="S18" s="457"/>
      <c r="T18" s="457"/>
      <c r="U18" s="457"/>
      <c r="V18" s="457"/>
      <c r="W18" s="457"/>
      <c r="X18" s="457"/>
      <c r="Y18" s="457"/>
      <c r="Z18" s="457"/>
      <c r="AA18" s="457"/>
      <c r="AB18" s="457"/>
    </row>
    <row r="19" spans="1:28" x14ac:dyDescent="0.25">
      <c r="A19" s="94">
        <v>12</v>
      </c>
      <c r="B19" s="38"/>
      <c r="C19" s="442" t="s">
        <v>210</v>
      </c>
      <c r="D19" s="445"/>
      <c r="E19" s="445"/>
      <c r="F19" s="445"/>
      <c r="G19" s="445"/>
      <c r="H19" s="445"/>
      <c r="I19" s="445"/>
      <c r="J19" s="442" t="s">
        <v>2650</v>
      </c>
      <c r="K19" s="445"/>
      <c r="L19" s="924">
        <v>0</v>
      </c>
    </row>
    <row r="20" spans="1:28" x14ac:dyDescent="0.25">
      <c r="A20" s="13"/>
      <c r="B20" s="38"/>
      <c r="C20" s="445"/>
      <c r="D20" s="445"/>
      <c r="E20" s="445"/>
      <c r="F20" s="445"/>
      <c r="G20" s="445" t="s">
        <v>331</v>
      </c>
      <c r="H20" s="445"/>
      <c r="I20" s="445"/>
      <c r="J20" s="442"/>
      <c r="K20" s="445"/>
      <c r="L20" s="445"/>
    </row>
    <row r="21" spans="1:28" x14ac:dyDescent="0.25">
      <c r="A21" s="94"/>
      <c r="B21" s="38"/>
      <c r="C21" s="445"/>
      <c r="D21" s="445"/>
      <c r="E21" s="445"/>
      <c r="F21" s="445"/>
      <c r="G21" s="445"/>
      <c r="H21" s="445"/>
      <c r="I21" s="13"/>
      <c r="J21" s="442"/>
      <c r="K21" s="445"/>
      <c r="L21" s="374"/>
    </row>
    <row r="22" spans="1:28" x14ac:dyDescent="0.25">
      <c r="A22" s="13"/>
      <c r="B22" s="38"/>
      <c r="C22" s="39" t="s">
        <v>1474</v>
      </c>
      <c r="D22" s="445"/>
      <c r="E22" s="445"/>
      <c r="F22" s="445"/>
      <c r="G22" s="445"/>
      <c r="H22" s="445"/>
      <c r="I22" s="445"/>
      <c r="J22" s="442"/>
      <c r="K22" s="445"/>
      <c r="L22" s="445"/>
    </row>
    <row r="23" spans="1:28" x14ac:dyDescent="0.25">
      <c r="A23" s="94">
        <v>13</v>
      </c>
      <c r="B23" s="38"/>
      <c r="C23" s="445" t="s">
        <v>43</v>
      </c>
      <c r="D23" s="445"/>
      <c r="E23" s="445"/>
      <c r="F23" s="445"/>
      <c r="G23" s="445"/>
      <c r="H23" s="445"/>
      <c r="I23" s="445" t="s">
        <v>1628</v>
      </c>
      <c r="J23" s="442" t="str">
        <f>"5-ROR-2, Line "&amp;'5-ROR-2'!A28&amp;""</f>
        <v>5-ROR-2, Line 11</v>
      </c>
      <c r="K23" s="445"/>
      <c r="L23" s="924">
        <v>0</v>
      </c>
      <c r="N23" s="94"/>
      <c r="O23" s="457"/>
      <c r="P23" s="457"/>
      <c r="Q23" s="457"/>
      <c r="R23" s="457"/>
      <c r="S23" s="457"/>
      <c r="T23" s="457"/>
      <c r="U23" s="457"/>
      <c r="V23" s="457"/>
      <c r="W23" s="457"/>
      <c r="X23" s="457"/>
      <c r="Y23" s="457"/>
      <c r="Z23" s="457"/>
      <c r="AA23" s="457"/>
      <c r="AB23" s="457"/>
    </row>
    <row r="24" spans="1:28" x14ac:dyDescent="0.25">
      <c r="A24" s="94">
        <v>14</v>
      </c>
      <c r="B24" s="38"/>
      <c r="C24" s="445" t="s">
        <v>1470</v>
      </c>
      <c r="D24" s="445"/>
      <c r="E24" s="445"/>
      <c r="F24" s="445"/>
      <c r="G24" s="445"/>
      <c r="H24" s="445"/>
      <c r="I24" s="445" t="s">
        <v>1628</v>
      </c>
      <c r="J24" s="442" t="str">
        <f>"5-ROR-2, Line "&amp;'5-ROR-2'!A30&amp;""</f>
        <v>5-ROR-2, Line 12</v>
      </c>
      <c r="K24" s="445"/>
      <c r="L24" s="924">
        <v>0</v>
      </c>
      <c r="N24" s="94"/>
      <c r="O24" s="457"/>
      <c r="P24" s="457"/>
      <c r="Q24" s="457"/>
      <c r="R24" s="457"/>
      <c r="S24" s="457"/>
      <c r="T24" s="457"/>
      <c r="U24" s="457"/>
      <c r="V24" s="457"/>
      <c r="W24" s="457"/>
      <c r="X24" s="457"/>
      <c r="Y24" s="457"/>
      <c r="Z24" s="457"/>
      <c r="AA24" s="457"/>
      <c r="AB24" s="457"/>
    </row>
    <row r="25" spans="1:28" ht="15" x14ac:dyDescent="0.4">
      <c r="A25" s="94">
        <v>15</v>
      </c>
      <c r="B25" s="38"/>
      <c r="C25" s="445" t="s">
        <v>1164</v>
      </c>
      <c r="D25" s="445"/>
      <c r="E25" s="445"/>
      <c r="F25" s="445"/>
      <c r="G25" s="445"/>
      <c r="H25" s="445"/>
      <c r="I25" s="445" t="s">
        <v>1628</v>
      </c>
      <c r="J25" s="442" t="str">
        <f>"5-ROR-2, Line "&amp;'5-ROR-2'!A32&amp;""</f>
        <v>5-ROR-2, Line 13</v>
      </c>
      <c r="K25" s="445"/>
      <c r="L25" s="925">
        <v>0</v>
      </c>
      <c r="N25" s="94"/>
      <c r="O25" s="457"/>
      <c r="P25" s="457"/>
      <c r="Q25" s="457"/>
      <c r="R25" s="457"/>
      <c r="S25" s="457"/>
      <c r="T25" s="457"/>
      <c r="U25" s="457"/>
      <c r="V25" s="457"/>
      <c r="W25" s="457"/>
      <c r="X25" s="457"/>
      <c r="Y25" s="457"/>
      <c r="Z25" s="457"/>
      <c r="AA25" s="457"/>
      <c r="AB25" s="457"/>
    </row>
    <row r="26" spans="1:28" x14ac:dyDescent="0.25">
      <c r="A26" s="94">
        <v>16</v>
      </c>
      <c r="B26" s="38"/>
      <c r="C26" s="442" t="s">
        <v>48</v>
      </c>
      <c r="D26" s="445"/>
      <c r="E26" s="445"/>
      <c r="F26" s="445"/>
      <c r="G26" s="445"/>
      <c r="H26" s="445"/>
      <c r="I26" s="445"/>
      <c r="J26" s="442" t="str">
        <f>"Sum of Lines "&amp;A23&amp;" to "&amp;A25&amp;""</f>
        <v>Sum of Lines 13 to 15</v>
      </c>
      <c r="K26" s="445"/>
      <c r="L26" s="924">
        <v>0</v>
      </c>
    </row>
    <row r="27" spans="1:28" x14ac:dyDescent="0.25">
      <c r="A27" s="94"/>
      <c r="B27" s="38"/>
      <c r="C27" s="445"/>
      <c r="D27" s="445"/>
      <c r="E27" s="445"/>
      <c r="F27" s="445"/>
      <c r="G27" s="445"/>
      <c r="H27" s="445"/>
      <c r="I27" s="445"/>
      <c r="J27" s="442"/>
      <c r="K27" s="445"/>
      <c r="L27" s="457"/>
    </row>
    <row r="28" spans="1:28" x14ac:dyDescent="0.25">
      <c r="A28" s="13"/>
      <c r="B28" s="38"/>
      <c r="C28" s="39" t="s">
        <v>272</v>
      </c>
      <c r="D28" s="445"/>
      <c r="E28" s="445"/>
      <c r="F28" s="445"/>
      <c r="G28" s="445"/>
      <c r="H28" s="445"/>
      <c r="I28" s="458"/>
      <c r="J28" s="442"/>
      <c r="K28" s="445"/>
      <c r="L28" s="445"/>
    </row>
    <row r="29" spans="1:28" x14ac:dyDescent="0.25">
      <c r="A29" s="94">
        <v>17</v>
      </c>
      <c r="B29" s="38"/>
      <c r="C29" s="445" t="s">
        <v>211</v>
      </c>
      <c r="D29" s="445"/>
      <c r="E29" s="445"/>
      <c r="F29" s="445"/>
      <c r="G29" s="445"/>
      <c r="H29" s="445"/>
      <c r="I29" s="445" t="s">
        <v>1628</v>
      </c>
      <c r="J29" s="442" t="str">
        <f>"5-ROR-2, Line "&amp;'5-ROR-2'!A34&amp;""</f>
        <v>5-ROR-2, Line 14</v>
      </c>
      <c r="K29" s="445"/>
      <c r="L29" s="924">
        <v>0</v>
      </c>
      <c r="N29" s="94"/>
      <c r="O29" s="457"/>
      <c r="P29" s="457"/>
      <c r="Q29" s="457"/>
      <c r="R29" s="457"/>
      <c r="S29" s="457"/>
      <c r="T29" s="457"/>
      <c r="U29" s="457"/>
      <c r="V29" s="457"/>
      <c r="W29" s="457"/>
      <c r="X29" s="457"/>
      <c r="Y29" s="457"/>
      <c r="Z29" s="457"/>
      <c r="AA29" s="457"/>
      <c r="AB29" s="457"/>
    </row>
    <row r="30" spans="1:28" x14ac:dyDescent="0.25">
      <c r="A30" s="94">
        <v>18</v>
      </c>
      <c r="B30" s="38"/>
      <c r="C30" s="445" t="s">
        <v>46</v>
      </c>
      <c r="D30" s="445"/>
      <c r="E30" s="445"/>
      <c r="F30" s="445"/>
      <c r="G30" s="445"/>
      <c r="H30" s="445"/>
      <c r="I30" s="445" t="str">
        <f>"Same as L "&amp;A23&amp;", but negative"</f>
        <v>Same as L 13, but negative</v>
      </c>
      <c r="J30" s="442" t="str">
        <f>"5-ROR-2, Line "&amp;'5-ROR-2'!A28&amp;""</f>
        <v>5-ROR-2, Line 11</v>
      </c>
      <c r="K30" s="445"/>
      <c r="L30" s="924">
        <v>0</v>
      </c>
      <c r="N30" s="94"/>
      <c r="O30" s="457"/>
      <c r="P30" s="457"/>
      <c r="Q30" s="457"/>
      <c r="R30" s="457"/>
      <c r="S30" s="457"/>
      <c r="T30" s="457"/>
      <c r="U30" s="457"/>
      <c r="V30" s="457"/>
      <c r="W30" s="457"/>
      <c r="X30" s="457"/>
      <c r="Y30" s="457"/>
      <c r="Z30" s="457"/>
      <c r="AA30" s="457"/>
      <c r="AB30" s="457"/>
    </row>
    <row r="31" spans="1:28" x14ac:dyDescent="0.25">
      <c r="A31" s="94">
        <v>19</v>
      </c>
      <c r="B31" s="38"/>
      <c r="C31" s="445" t="s">
        <v>1471</v>
      </c>
      <c r="D31" s="445"/>
      <c r="E31" s="445"/>
      <c r="F31" s="445"/>
      <c r="G31" s="445"/>
      <c r="H31" s="445"/>
      <c r="I31" s="445" t="str">
        <f>"Same as L "&amp;A25&amp;", but reverse sign"</f>
        <v>Same as L 15, but reverse sign</v>
      </c>
      <c r="J31" s="442" t="str">
        <f>"5-ROR-2, Line "&amp;'5-ROR-2'!A32&amp;""</f>
        <v>5-ROR-2, Line 13</v>
      </c>
      <c r="K31" s="445"/>
      <c r="L31" s="924">
        <v>0</v>
      </c>
      <c r="N31" s="94"/>
      <c r="O31" s="457"/>
      <c r="P31" s="457"/>
      <c r="Q31" s="457"/>
      <c r="R31" s="457"/>
      <c r="S31" s="457"/>
      <c r="T31" s="457"/>
      <c r="U31" s="457"/>
      <c r="V31" s="457"/>
      <c r="W31" s="457"/>
      <c r="X31" s="457"/>
      <c r="Y31" s="457"/>
      <c r="Z31" s="457"/>
      <c r="AA31" s="457"/>
      <c r="AB31" s="457"/>
    </row>
    <row r="32" spans="1:28" x14ac:dyDescent="0.25">
      <c r="A32" s="94">
        <v>20</v>
      </c>
      <c r="B32" s="38"/>
      <c r="C32" s="445" t="s">
        <v>1472</v>
      </c>
      <c r="D32" s="445"/>
      <c r="E32" s="445"/>
      <c r="F32" s="445"/>
      <c r="G32" s="445"/>
      <c r="H32" s="445"/>
      <c r="I32" s="445" t="s">
        <v>1628</v>
      </c>
      <c r="J32" s="442" t="str">
        <f>"5-ROR-2, Line "&amp;'5-ROR-2'!A36&amp;""</f>
        <v>5-ROR-2, Line 15</v>
      </c>
      <c r="K32" s="445"/>
      <c r="L32" s="924">
        <v>0</v>
      </c>
      <c r="N32" s="94"/>
      <c r="O32" s="457"/>
      <c r="P32" s="457"/>
      <c r="Q32" s="457"/>
      <c r="R32" s="457"/>
      <c r="S32" s="457"/>
      <c r="T32" s="457"/>
      <c r="U32" s="457"/>
      <c r="V32" s="457"/>
      <c r="W32" s="457"/>
      <c r="X32" s="457"/>
      <c r="Y32" s="457"/>
      <c r="Z32" s="457"/>
      <c r="AA32" s="457"/>
      <c r="AB32" s="457"/>
    </row>
    <row r="33" spans="1:28" ht="15" x14ac:dyDescent="0.4">
      <c r="A33" s="94">
        <v>21</v>
      </c>
      <c r="B33" s="38"/>
      <c r="C33" s="445" t="s">
        <v>1473</v>
      </c>
      <c r="D33" s="445"/>
      <c r="E33" s="445"/>
      <c r="F33" s="445"/>
      <c r="G33" s="445"/>
      <c r="H33" s="445"/>
      <c r="I33" s="445" t="s">
        <v>1628</v>
      </c>
      <c r="J33" s="442" t="str">
        <f>"5-ROR-2, Line "&amp;'5-ROR-2'!A38&amp;""</f>
        <v>5-ROR-2, Line 16</v>
      </c>
      <c r="K33" s="445"/>
      <c r="L33" s="925">
        <v>0</v>
      </c>
      <c r="N33" s="94"/>
      <c r="O33" s="457"/>
      <c r="P33" s="457"/>
      <c r="Q33" s="457"/>
      <c r="R33" s="457"/>
      <c r="S33" s="457"/>
      <c r="T33" s="457"/>
      <c r="U33" s="457"/>
      <c r="V33" s="457"/>
      <c r="W33" s="457"/>
      <c r="X33" s="457"/>
      <c r="Y33" s="457"/>
      <c r="Z33" s="457"/>
      <c r="AA33" s="457"/>
      <c r="AB33" s="457"/>
    </row>
    <row r="34" spans="1:28" x14ac:dyDescent="0.25">
      <c r="A34" s="94">
        <v>22</v>
      </c>
      <c r="B34" s="38"/>
      <c r="C34" s="445" t="s">
        <v>45</v>
      </c>
      <c r="D34" s="445"/>
      <c r="E34" s="445"/>
      <c r="F34" s="445"/>
      <c r="G34" s="445"/>
      <c r="H34" s="445"/>
      <c r="I34" s="445"/>
      <c r="J34" s="442" t="str">
        <f>"Sum of Lines "&amp;A29&amp;" to "&amp;A33&amp;""</f>
        <v>Sum of Lines 17 to 21</v>
      </c>
      <c r="K34" s="445"/>
      <c r="L34" s="924">
        <v>0</v>
      </c>
    </row>
    <row r="35" spans="1:28" x14ac:dyDescent="0.25">
      <c r="A35" s="13"/>
      <c r="B35" s="844"/>
      <c r="C35" s="445"/>
      <c r="D35" s="445"/>
      <c r="E35" s="445"/>
      <c r="F35" s="445"/>
      <c r="G35" s="445"/>
      <c r="H35" s="445"/>
      <c r="I35" s="445"/>
      <c r="J35" s="443"/>
      <c r="K35" s="443"/>
      <c r="L35" s="443"/>
    </row>
    <row r="36" spans="1:28" x14ac:dyDescent="0.25">
      <c r="A36" s="13"/>
      <c r="B36" s="445"/>
      <c r="C36" s="13"/>
      <c r="D36" s="13"/>
      <c r="E36" s="13"/>
      <c r="F36" s="13"/>
      <c r="G36" s="13"/>
      <c r="H36" s="13"/>
      <c r="I36" s="13"/>
      <c r="J36" s="445"/>
    </row>
    <row r="37" spans="1:28" x14ac:dyDescent="0.25">
      <c r="A37" s="13"/>
      <c r="B37" s="445"/>
      <c r="C37" s="13"/>
      <c r="D37" s="13"/>
      <c r="E37" s="13"/>
      <c r="F37" s="13"/>
      <c r="G37" s="13"/>
      <c r="H37" s="13"/>
      <c r="I37" s="13"/>
      <c r="J37" s="445"/>
    </row>
    <row r="38" spans="1:28" x14ac:dyDescent="0.25">
      <c r="A38" s="13"/>
      <c r="B38" s="445"/>
      <c r="C38" s="13"/>
      <c r="D38" s="13"/>
      <c r="E38" s="13"/>
      <c r="F38" s="13"/>
      <c r="G38" s="13"/>
      <c r="H38" s="13"/>
      <c r="I38" s="13"/>
      <c r="J38" s="445"/>
    </row>
    <row r="39" spans="1:28" x14ac:dyDescent="0.25">
      <c r="A39" s="13"/>
      <c r="B39" s="445"/>
      <c r="C39" s="13"/>
      <c r="D39" s="13"/>
      <c r="E39" s="13"/>
      <c r="F39" s="13"/>
      <c r="G39" s="13"/>
      <c r="H39" s="13"/>
      <c r="I39" s="13"/>
    </row>
    <row r="40" spans="1:28" x14ac:dyDescent="0.25">
      <c r="A40" s="13"/>
      <c r="B40" s="565"/>
      <c r="C40" s="13"/>
      <c r="D40" s="13"/>
      <c r="E40" s="13"/>
      <c r="F40" s="13"/>
      <c r="G40" s="13"/>
      <c r="H40" s="13"/>
      <c r="I40" s="13"/>
    </row>
    <row r="41" spans="1:28" x14ac:dyDescent="0.25">
      <c r="B41" s="443"/>
    </row>
    <row r="42" spans="1:28" x14ac:dyDescent="0.25">
      <c r="B42" s="447"/>
    </row>
    <row r="43" spans="1:28" x14ac:dyDescent="0.25">
      <c r="B43" s="443"/>
    </row>
    <row r="44" spans="1:28" x14ac:dyDescent="0.25">
      <c r="B44" s="447"/>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90" zoomScaleNormal="90" workbookViewId="0"/>
  </sheetViews>
  <sheetFormatPr defaultRowHeight="13.2" x14ac:dyDescent="0.25"/>
  <cols>
    <col min="1" max="1" width="4.6640625" customWidth="1"/>
    <col min="2" max="2" width="5.44140625" customWidth="1"/>
    <col min="3" max="16" width="14.6640625" customWidth="1"/>
  </cols>
  <sheetData>
    <row r="1" spans="1:16" x14ac:dyDescent="0.25">
      <c r="A1" s="1" t="s">
        <v>1648</v>
      </c>
      <c r="B1" s="1"/>
    </row>
    <row r="2" spans="1:16" x14ac:dyDescent="0.25">
      <c r="A2" s="94" t="s">
        <v>2214</v>
      </c>
      <c r="B2" s="160"/>
    </row>
    <row r="3" spans="1:16" x14ac:dyDescent="0.25">
      <c r="C3" s="76" t="s">
        <v>363</v>
      </c>
      <c r="D3" s="76" t="s">
        <v>347</v>
      </c>
      <c r="E3" s="76" t="s">
        <v>348</v>
      </c>
      <c r="F3" s="76" t="s">
        <v>349</v>
      </c>
      <c r="G3" s="76" t="s">
        <v>350</v>
      </c>
      <c r="H3" s="76" t="s">
        <v>351</v>
      </c>
      <c r="I3" s="76" t="s">
        <v>352</v>
      </c>
      <c r="J3" s="76" t="s">
        <v>541</v>
      </c>
      <c r="K3" s="76" t="s">
        <v>955</v>
      </c>
      <c r="L3" s="76" t="s">
        <v>967</v>
      </c>
      <c r="M3" s="76" t="s">
        <v>970</v>
      </c>
      <c r="N3" s="76" t="s">
        <v>988</v>
      </c>
      <c r="O3" s="76" t="s">
        <v>1476</v>
      </c>
      <c r="P3" s="76" t="s">
        <v>1477</v>
      </c>
    </row>
    <row r="4" spans="1:16" x14ac:dyDescent="0.25">
      <c r="A4" s="3" t="s">
        <v>322</v>
      </c>
      <c r="B4" s="3" t="s">
        <v>1649</v>
      </c>
      <c r="C4" s="30" t="s">
        <v>10</v>
      </c>
      <c r="D4" s="460" t="s">
        <v>181</v>
      </c>
      <c r="E4" s="452" t="s">
        <v>182</v>
      </c>
      <c r="F4" s="452" t="s">
        <v>183</v>
      </c>
      <c r="G4" s="452" t="s">
        <v>196</v>
      </c>
      <c r="H4" s="452" t="s">
        <v>184</v>
      </c>
      <c r="I4" s="452" t="s">
        <v>185</v>
      </c>
      <c r="J4" s="452" t="s">
        <v>1475</v>
      </c>
      <c r="K4" s="452" t="s">
        <v>187</v>
      </c>
      <c r="L4" s="452" t="s">
        <v>188</v>
      </c>
      <c r="M4" s="452" t="s">
        <v>189</v>
      </c>
      <c r="N4" s="452" t="s">
        <v>192</v>
      </c>
      <c r="O4" s="452" t="s">
        <v>191</v>
      </c>
      <c r="P4" s="452" t="s">
        <v>181</v>
      </c>
    </row>
    <row r="5" spans="1:16" x14ac:dyDescent="0.25">
      <c r="A5" s="3"/>
      <c r="B5" s="104"/>
      <c r="C5" s="514" t="s">
        <v>2215</v>
      </c>
      <c r="D5" s="535"/>
      <c r="E5" s="452"/>
      <c r="F5" s="452"/>
      <c r="G5" s="452"/>
      <c r="H5" s="452"/>
      <c r="I5" s="452"/>
      <c r="J5" s="452"/>
      <c r="K5" s="452"/>
      <c r="L5" s="452"/>
      <c r="M5" s="452"/>
      <c r="N5" s="452"/>
      <c r="O5" s="452"/>
      <c r="P5" s="452"/>
    </row>
    <row r="6" spans="1:16" x14ac:dyDescent="0.25">
      <c r="A6" s="46"/>
      <c r="B6" s="46"/>
      <c r="C6" s="30"/>
      <c r="D6" s="460"/>
      <c r="E6" s="452"/>
      <c r="F6" s="452"/>
      <c r="G6" s="452"/>
      <c r="H6" s="452"/>
      <c r="I6" s="452"/>
      <c r="J6" s="452"/>
      <c r="K6" s="452"/>
      <c r="L6" s="452"/>
      <c r="M6" s="452"/>
      <c r="N6" s="452"/>
      <c r="O6" s="452"/>
      <c r="P6" s="452"/>
    </row>
    <row r="7" spans="1:16" x14ac:dyDescent="0.25">
      <c r="B7" s="38" t="s">
        <v>1650</v>
      </c>
      <c r="D7" s="460"/>
      <c r="E7" s="452"/>
      <c r="F7" s="452"/>
      <c r="G7" s="452"/>
      <c r="H7" s="452"/>
      <c r="I7" s="452"/>
      <c r="J7" s="452"/>
      <c r="K7" s="452"/>
      <c r="L7" s="452"/>
      <c r="M7" s="452"/>
      <c r="N7" s="452"/>
      <c r="O7" s="452"/>
      <c r="P7" s="452"/>
    </row>
    <row r="8" spans="1:16" x14ac:dyDescent="0.25">
      <c r="A8" s="94">
        <v>1</v>
      </c>
      <c r="B8" s="94"/>
      <c r="C8" s="924">
        <v>0</v>
      </c>
      <c r="D8" s="932">
        <v>0</v>
      </c>
      <c r="E8" s="932">
        <v>0</v>
      </c>
      <c r="F8" s="932">
        <v>0</v>
      </c>
      <c r="G8" s="932">
        <v>0</v>
      </c>
      <c r="H8" s="932">
        <v>0</v>
      </c>
      <c r="I8" s="932">
        <v>0</v>
      </c>
      <c r="J8" s="932">
        <v>0</v>
      </c>
      <c r="K8" s="932">
        <v>0</v>
      </c>
      <c r="L8" s="932">
        <v>0</v>
      </c>
      <c r="M8" s="932">
        <v>0</v>
      </c>
      <c r="N8" s="932">
        <v>0</v>
      </c>
      <c r="O8" s="932">
        <v>0</v>
      </c>
      <c r="P8" s="932">
        <v>0</v>
      </c>
    </row>
    <row r="9" spans="1:16" x14ac:dyDescent="0.25">
      <c r="A9" s="94"/>
      <c r="B9" s="38" t="s">
        <v>2216</v>
      </c>
      <c r="C9" s="6"/>
      <c r="D9" s="457"/>
      <c r="E9" s="457"/>
      <c r="F9" s="457"/>
      <c r="G9" s="457"/>
      <c r="H9" s="457"/>
      <c r="I9" s="457"/>
      <c r="J9" s="457"/>
      <c r="K9" s="457"/>
      <c r="L9" s="457"/>
      <c r="M9" s="457"/>
      <c r="N9" s="457"/>
      <c r="O9" s="457"/>
      <c r="P9" s="457"/>
    </row>
    <row r="10" spans="1:16" x14ac:dyDescent="0.25">
      <c r="A10" s="94">
        <f>A8+1</f>
        <v>2</v>
      </c>
      <c r="B10" s="94"/>
      <c r="C10" s="924">
        <v>0</v>
      </c>
      <c r="D10" s="932">
        <v>0</v>
      </c>
      <c r="E10" s="932">
        <v>0</v>
      </c>
      <c r="F10" s="932">
        <v>0</v>
      </c>
      <c r="G10" s="932">
        <v>0</v>
      </c>
      <c r="H10" s="932">
        <v>0</v>
      </c>
      <c r="I10" s="932">
        <v>0</v>
      </c>
      <c r="J10" s="932">
        <v>0</v>
      </c>
      <c r="K10" s="932">
        <v>0</v>
      </c>
      <c r="L10" s="932">
        <v>0</v>
      </c>
      <c r="M10" s="932">
        <v>0</v>
      </c>
      <c r="N10" s="932">
        <v>0</v>
      </c>
      <c r="O10" s="932">
        <v>0</v>
      </c>
      <c r="P10" s="932">
        <v>0</v>
      </c>
    </row>
    <row r="11" spans="1:16" x14ac:dyDescent="0.25">
      <c r="A11" s="94"/>
      <c r="B11" s="38" t="s">
        <v>2634</v>
      </c>
      <c r="C11" s="13"/>
      <c r="D11" s="457"/>
      <c r="E11" s="457"/>
      <c r="F11" s="457"/>
      <c r="G11" s="457"/>
      <c r="H11" s="457"/>
      <c r="I11" s="457"/>
      <c r="J11" s="457"/>
      <c r="K11" s="457"/>
      <c r="L11" s="457"/>
      <c r="M11" s="457"/>
      <c r="N11" s="457"/>
      <c r="O11" s="457"/>
      <c r="P11" s="457"/>
    </row>
    <row r="12" spans="1:16" x14ac:dyDescent="0.25">
      <c r="A12" s="94">
        <v>3</v>
      </c>
      <c r="B12" s="38"/>
      <c r="C12" s="924">
        <v>0</v>
      </c>
      <c r="D12" s="932">
        <v>0</v>
      </c>
      <c r="E12" s="932">
        <v>0</v>
      </c>
      <c r="F12" s="932">
        <v>0</v>
      </c>
      <c r="G12" s="932">
        <v>0</v>
      </c>
      <c r="H12" s="932">
        <v>0</v>
      </c>
      <c r="I12" s="932">
        <v>0</v>
      </c>
      <c r="J12" s="932">
        <v>0</v>
      </c>
      <c r="K12" s="932">
        <v>0</v>
      </c>
      <c r="L12" s="932">
        <v>0</v>
      </c>
      <c r="M12" s="932">
        <v>0</v>
      </c>
      <c r="N12" s="932">
        <v>0</v>
      </c>
      <c r="O12" s="932">
        <v>0</v>
      </c>
      <c r="P12" s="932">
        <v>0</v>
      </c>
    </row>
    <row r="13" spans="1:16" x14ac:dyDescent="0.25">
      <c r="A13" s="94"/>
      <c r="B13" s="38" t="s">
        <v>2635</v>
      </c>
      <c r="D13" s="457"/>
      <c r="E13" s="457"/>
      <c r="F13" s="457"/>
      <c r="G13" s="457"/>
      <c r="H13" s="457"/>
      <c r="I13" s="457"/>
      <c r="J13" s="457"/>
      <c r="K13" s="457"/>
      <c r="L13" s="457"/>
      <c r="M13" s="457"/>
      <c r="N13" s="457"/>
      <c r="O13" s="457"/>
      <c r="P13" s="457"/>
    </row>
    <row r="14" spans="1:16" x14ac:dyDescent="0.25">
      <c r="A14" s="94">
        <v>4</v>
      </c>
      <c r="B14" s="94"/>
      <c r="C14" s="924">
        <v>0</v>
      </c>
      <c r="D14" s="932">
        <v>0</v>
      </c>
      <c r="E14" s="932">
        <v>0</v>
      </c>
      <c r="F14" s="932">
        <v>0</v>
      </c>
      <c r="G14" s="932">
        <v>0</v>
      </c>
      <c r="H14" s="932">
        <v>0</v>
      </c>
      <c r="I14" s="932">
        <v>0</v>
      </c>
      <c r="J14" s="932">
        <v>0</v>
      </c>
      <c r="K14" s="932">
        <v>0</v>
      </c>
      <c r="L14" s="932">
        <v>0</v>
      </c>
      <c r="M14" s="932">
        <v>0</v>
      </c>
      <c r="N14" s="932">
        <v>0</v>
      </c>
      <c r="O14" s="932">
        <v>0</v>
      </c>
      <c r="P14" s="932">
        <v>0</v>
      </c>
    </row>
    <row r="15" spans="1:16" x14ac:dyDescent="0.25">
      <c r="A15" s="94"/>
      <c r="B15" s="38" t="s">
        <v>2631</v>
      </c>
      <c r="C15" s="13"/>
      <c r="D15" s="457"/>
      <c r="E15" s="457"/>
      <c r="F15" s="457"/>
      <c r="G15" s="457"/>
      <c r="H15" s="457"/>
      <c r="I15" s="457"/>
      <c r="J15" s="457"/>
      <c r="K15" s="457"/>
      <c r="L15" s="457"/>
      <c r="M15" s="457"/>
      <c r="N15" s="457"/>
      <c r="O15" s="457"/>
      <c r="P15" s="457"/>
    </row>
    <row r="16" spans="1:16" x14ac:dyDescent="0.25">
      <c r="A16" s="94">
        <f>A14+1</f>
        <v>5</v>
      </c>
      <c r="C16" s="924">
        <v>0</v>
      </c>
      <c r="D16" s="932">
        <v>0</v>
      </c>
      <c r="E16" s="932">
        <v>0</v>
      </c>
      <c r="F16" s="932">
        <v>0</v>
      </c>
      <c r="G16" s="932">
        <v>0</v>
      </c>
      <c r="H16" s="932">
        <v>0</v>
      </c>
      <c r="I16" s="932">
        <v>0</v>
      </c>
      <c r="J16" s="932">
        <v>0</v>
      </c>
      <c r="K16" s="932">
        <v>0</v>
      </c>
      <c r="L16" s="932">
        <v>0</v>
      </c>
      <c r="M16" s="932">
        <v>0</v>
      </c>
      <c r="N16" s="932">
        <v>0</v>
      </c>
      <c r="O16" s="932">
        <v>0</v>
      </c>
      <c r="P16" s="932">
        <v>0</v>
      </c>
    </row>
    <row r="17" spans="1:16" x14ac:dyDescent="0.25">
      <c r="A17" s="94"/>
      <c r="B17" s="38" t="s">
        <v>2652</v>
      </c>
      <c r="C17" s="13"/>
      <c r="D17" s="457"/>
      <c r="E17" s="457"/>
      <c r="F17" s="457"/>
      <c r="G17" s="457"/>
      <c r="H17" s="457"/>
      <c r="I17" s="457"/>
      <c r="J17" s="457"/>
      <c r="K17" s="457"/>
      <c r="L17" s="457"/>
      <c r="M17" s="457"/>
      <c r="N17" s="457"/>
      <c r="O17" s="457"/>
      <c r="P17" s="457"/>
    </row>
    <row r="18" spans="1:16" x14ac:dyDescent="0.25">
      <c r="A18" s="94">
        <f>A16+1</f>
        <v>6</v>
      </c>
      <c r="B18" s="357"/>
      <c r="C18" s="924">
        <v>0</v>
      </c>
      <c r="D18" s="932">
        <v>0</v>
      </c>
      <c r="E18" s="932">
        <v>0</v>
      </c>
      <c r="F18" s="932">
        <v>0</v>
      </c>
      <c r="G18" s="932">
        <v>0</v>
      </c>
      <c r="H18" s="932">
        <v>0</v>
      </c>
      <c r="I18" s="932">
        <v>0</v>
      </c>
      <c r="J18" s="932">
        <v>0</v>
      </c>
      <c r="K18" s="932">
        <v>0</v>
      </c>
      <c r="L18" s="932">
        <v>0</v>
      </c>
      <c r="M18" s="932">
        <v>0</v>
      </c>
      <c r="N18" s="932">
        <v>0</v>
      </c>
      <c r="O18" s="932">
        <v>0</v>
      </c>
      <c r="P18" s="932">
        <v>0</v>
      </c>
    </row>
    <row r="19" spans="1:16" x14ac:dyDescent="0.25">
      <c r="A19" s="13"/>
      <c r="B19" s="357" t="s">
        <v>2653</v>
      </c>
      <c r="C19" s="13"/>
      <c r="D19" s="13"/>
      <c r="E19" s="13"/>
      <c r="F19" s="13"/>
      <c r="G19" s="13"/>
      <c r="H19" s="13"/>
      <c r="I19" s="13"/>
      <c r="J19" s="13"/>
      <c r="K19" s="13"/>
      <c r="L19" s="13"/>
      <c r="M19" s="13"/>
      <c r="N19" s="13"/>
      <c r="O19" s="13"/>
      <c r="P19" s="13"/>
    </row>
    <row r="20" spans="1:16" x14ac:dyDescent="0.25">
      <c r="A20" s="94">
        <f>A18+1</f>
        <v>7</v>
      </c>
      <c r="B20" s="38"/>
      <c r="C20" s="924">
        <v>0</v>
      </c>
      <c r="D20" s="932">
        <v>0</v>
      </c>
      <c r="E20" s="932">
        <v>0</v>
      </c>
      <c r="F20" s="932">
        <v>0</v>
      </c>
      <c r="G20" s="932">
        <v>0</v>
      </c>
      <c r="H20" s="932">
        <v>0</v>
      </c>
      <c r="I20" s="932">
        <v>0</v>
      </c>
      <c r="J20" s="932">
        <v>0</v>
      </c>
      <c r="K20" s="932">
        <v>0</v>
      </c>
      <c r="L20" s="932">
        <v>0</v>
      </c>
      <c r="M20" s="932">
        <v>0</v>
      </c>
      <c r="N20" s="932">
        <v>0</v>
      </c>
      <c r="O20" s="932">
        <v>0</v>
      </c>
      <c r="P20" s="932">
        <v>0</v>
      </c>
    </row>
    <row r="21" spans="1:16" x14ac:dyDescent="0.25">
      <c r="A21" s="94"/>
      <c r="B21" s="357" t="s">
        <v>2654</v>
      </c>
      <c r="C21" s="13"/>
      <c r="D21" s="457"/>
      <c r="E21" s="457"/>
      <c r="F21" s="457"/>
      <c r="G21" s="457"/>
      <c r="H21" s="457"/>
      <c r="I21" s="457"/>
      <c r="J21" s="457"/>
      <c r="K21" s="457"/>
      <c r="L21" s="457"/>
      <c r="M21" s="457"/>
      <c r="N21" s="457"/>
      <c r="O21" s="457"/>
      <c r="P21" s="457"/>
    </row>
    <row r="22" spans="1:16" x14ac:dyDescent="0.25">
      <c r="A22" s="94">
        <f>A20+1</f>
        <v>8</v>
      </c>
      <c r="B22" s="357"/>
      <c r="C22" s="924">
        <v>0</v>
      </c>
      <c r="D22" s="932">
        <v>0</v>
      </c>
      <c r="E22" s="932">
        <v>0</v>
      </c>
      <c r="F22" s="932">
        <v>0</v>
      </c>
      <c r="G22" s="932">
        <v>0</v>
      </c>
      <c r="H22" s="932">
        <v>0</v>
      </c>
      <c r="I22" s="932">
        <v>0</v>
      </c>
      <c r="J22" s="932">
        <v>0</v>
      </c>
      <c r="K22" s="932">
        <v>0</v>
      </c>
      <c r="L22" s="932">
        <v>0</v>
      </c>
      <c r="M22" s="932">
        <v>0</v>
      </c>
      <c r="N22" s="932">
        <v>0</v>
      </c>
      <c r="O22" s="932">
        <v>0</v>
      </c>
      <c r="P22" s="932">
        <v>0</v>
      </c>
    </row>
    <row r="23" spans="1:16" x14ac:dyDescent="0.25">
      <c r="A23" s="94"/>
      <c r="B23" s="357" t="s">
        <v>2632</v>
      </c>
      <c r="C23" s="457"/>
      <c r="D23" s="457"/>
      <c r="E23" s="457"/>
      <c r="F23" s="457"/>
      <c r="G23" s="457"/>
      <c r="H23" s="457"/>
      <c r="I23" s="457"/>
      <c r="J23" s="457"/>
      <c r="K23" s="457"/>
      <c r="L23" s="457"/>
      <c r="M23" s="457"/>
      <c r="N23" s="457"/>
      <c r="O23" s="457"/>
      <c r="P23" s="457"/>
    </row>
    <row r="24" spans="1:16" x14ac:dyDescent="0.25">
      <c r="A24" s="94">
        <f>+A22+1</f>
        <v>9</v>
      </c>
      <c r="B24" s="357"/>
      <c r="C24" s="924">
        <v>0</v>
      </c>
      <c r="D24" s="932">
        <v>0</v>
      </c>
      <c r="E24" s="932">
        <v>0</v>
      </c>
      <c r="F24" s="932">
        <v>0</v>
      </c>
      <c r="G24" s="932">
        <v>0</v>
      </c>
      <c r="H24" s="932">
        <v>0</v>
      </c>
      <c r="I24" s="932">
        <v>0</v>
      </c>
      <c r="J24" s="932">
        <v>0</v>
      </c>
      <c r="K24" s="932">
        <v>0</v>
      </c>
      <c r="L24" s="932">
        <v>0</v>
      </c>
      <c r="M24" s="932">
        <v>0</v>
      </c>
      <c r="N24" s="932">
        <v>0</v>
      </c>
      <c r="O24" s="932">
        <v>0</v>
      </c>
      <c r="P24" s="932">
        <v>0</v>
      </c>
    </row>
    <row r="25" spans="1:16" x14ac:dyDescent="0.25">
      <c r="A25" s="94"/>
      <c r="B25" s="357" t="s">
        <v>2633</v>
      </c>
      <c r="C25" s="457"/>
      <c r="D25" s="457"/>
      <c r="E25" s="457"/>
      <c r="F25" s="457"/>
      <c r="G25" s="457"/>
      <c r="H25" s="457"/>
      <c r="I25" s="457"/>
      <c r="J25" s="457"/>
      <c r="K25" s="457"/>
      <c r="L25" s="457"/>
      <c r="M25" s="457"/>
      <c r="N25" s="457"/>
      <c r="O25" s="457"/>
      <c r="P25" s="457"/>
    </row>
    <row r="26" spans="1:16" x14ac:dyDescent="0.25">
      <c r="A26" s="94">
        <f>+A24+1</f>
        <v>10</v>
      </c>
      <c r="B26" s="357"/>
      <c r="C26" s="924">
        <v>0</v>
      </c>
      <c r="D26" s="932">
        <v>0</v>
      </c>
      <c r="E26" s="932">
        <v>0</v>
      </c>
      <c r="F26" s="932">
        <v>0</v>
      </c>
      <c r="G26" s="932">
        <v>0</v>
      </c>
      <c r="H26" s="932">
        <v>0</v>
      </c>
      <c r="I26" s="932">
        <v>0</v>
      </c>
      <c r="J26" s="932">
        <v>0</v>
      </c>
      <c r="K26" s="932">
        <v>0</v>
      </c>
      <c r="L26" s="932">
        <v>0</v>
      </c>
      <c r="M26" s="932">
        <v>0</v>
      </c>
      <c r="N26" s="932">
        <v>0</v>
      </c>
      <c r="O26" s="932">
        <v>0</v>
      </c>
      <c r="P26" s="932">
        <v>0</v>
      </c>
    </row>
    <row r="27" spans="1:16" x14ac:dyDescent="0.25">
      <c r="A27" s="13"/>
      <c r="B27" s="38" t="s">
        <v>2626</v>
      </c>
    </row>
    <row r="28" spans="1:16" x14ac:dyDescent="0.25">
      <c r="A28" s="94">
        <v>11</v>
      </c>
      <c r="B28" s="94"/>
      <c r="C28" s="924">
        <v>0</v>
      </c>
      <c r="D28" s="932">
        <v>0</v>
      </c>
      <c r="E28" s="932">
        <v>0</v>
      </c>
      <c r="F28" s="932">
        <v>0</v>
      </c>
      <c r="G28" s="932">
        <v>0</v>
      </c>
      <c r="H28" s="932">
        <v>0</v>
      </c>
      <c r="I28" s="932">
        <v>0</v>
      </c>
      <c r="J28" s="932">
        <v>0</v>
      </c>
      <c r="K28" s="932">
        <v>0</v>
      </c>
      <c r="L28" s="932">
        <v>0</v>
      </c>
      <c r="M28" s="932">
        <v>0</v>
      </c>
      <c r="N28" s="932">
        <v>0</v>
      </c>
      <c r="O28" s="932">
        <v>0</v>
      </c>
      <c r="P28" s="932">
        <v>0</v>
      </c>
    </row>
    <row r="29" spans="1:16" x14ac:dyDescent="0.25">
      <c r="A29" s="94"/>
      <c r="B29" s="38" t="s">
        <v>2655</v>
      </c>
      <c r="D29" s="457"/>
      <c r="E29" s="457"/>
      <c r="F29" s="457"/>
      <c r="G29" s="457"/>
      <c r="H29" s="457"/>
      <c r="I29" s="457"/>
      <c r="J29" s="457"/>
      <c r="K29" s="457"/>
      <c r="L29" s="457"/>
      <c r="M29" s="457"/>
      <c r="N29" s="457"/>
      <c r="O29" s="457"/>
      <c r="P29" s="457"/>
    </row>
    <row r="30" spans="1:16" x14ac:dyDescent="0.25">
      <c r="A30" s="94">
        <v>12</v>
      </c>
      <c r="B30" s="94"/>
      <c r="C30" s="924">
        <v>0</v>
      </c>
      <c r="D30" s="932">
        <v>0</v>
      </c>
      <c r="E30" s="932">
        <v>0</v>
      </c>
      <c r="F30" s="932">
        <v>0</v>
      </c>
      <c r="G30" s="932">
        <v>0</v>
      </c>
      <c r="H30" s="932">
        <v>0</v>
      </c>
      <c r="I30" s="932">
        <v>0</v>
      </c>
      <c r="J30" s="932">
        <v>0</v>
      </c>
      <c r="K30" s="932">
        <v>0</v>
      </c>
      <c r="L30" s="932">
        <v>0</v>
      </c>
      <c r="M30" s="932">
        <v>0</v>
      </c>
      <c r="N30" s="932">
        <v>0</v>
      </c>
      <c r="O30" s="932">
        <v>0</v>
      </c>
      <c r="P30" s="932">
        <v>0</v>
      </c>
    </row>
    <row r="31" spans="1:16" x14ac:dyDescent="0.25">
      <c r="A31" s="94"/>
      <c r="B31" s="38" t="s">
        <v>2627</v>
      </c>
      <c r="D31" s="457"/>
      <c r="E31" s="457"/>
      <c r="F31" s="457"/>
      <c r="G31" s="457"/>
      <c r="H31" s="457"/>
      <c r="I31" s="457"/>
      <c r="J31" s="457"/>
      <c r="K31" s="457"/>
      <c r="L31" s="457"/>
      <c r="M31" s="457"/>
      <c r="N31" s="457"/>
      <c r="O31" s="457"/>
      <c r="P31" s="457"/>
    </row>
    <row r="32" spans="1:16" x14ac:dyDescent="0.25">
      <c r="A32" s="94">
        <v>13</v>
      </c>
      <c r="B32" s="94"/>
      <c r="C32" s="924">
        <v>0</v>
      </c>
      <c r="D32" s="932">
        <v>0</v>
      </c>
      <c r="E32" s="932">
        <v>0</v>
      </c>
      <c r="F32" s="932">
        <v>0</v>
      </c>
      <c r="G32" s="932">
        <v>0</v>
      </c>
      <c r="H32" s="932">
        <v>0</v>
      </c>
      <c r="I32" s="932">
        <v>0</v>
      </c>
      <c r="J32" s="932">
        <v>0</v>
      </c>
      <c r="K32" s="932">
        <v>0</v>
      </c>
      <c r="L32" s="932">
        <v>0</v>
      </c>
      <c r="M32" s="932">
        <v>0</v>
      </c>
      <c r="N32" s="932">
        <v>0</v>
      </c>
      <c r="O32" s="932">
        <v>0</v>
      </c>
      <c r="P32" s="932">
        <v>0</v>
      </c>
    </row>
    <row r="33" spans="1:16" x14ac:dyDescent="0.25">
      <c r="A33" s="13"/>
      <c r="B33" s="38" t="s">
        <v>2628</v>
      </c>
    </row>
    <row r="34" spans="1:16" x14ac:dyDescent="0.25">
      <c r="A34" s="94">
        <v>14</v>
      </c>
      <c r="B34" s="94"/>
      <c r="C34" s="924">
        <v>0</v>
      </c>
      <c r="D34" s="932">
        <v>0</v>
      </c>
      <c r="E34" s="932">
        <v>0</v>
      </c>
      <c r="F34" s="932">
        <v>0</v>
      </c>
      <c r="G34" s="932">
        <v>0</v>
      </c>
      <c r="H34" s="932">
        <v>0</v>
      </c>
      <c r="I34" s="932">
        <v>0</v>
      </c>
      <c r="J34" s="932">
        <v>0</v>
      </c>
      <c r="K34" s="932">
        <v>0</v>
      </c>
      <c r="L34" s="932">
        <v>0</v>
      </c>
      <c r="M34" s="932">
        <v>0</v>
      </c>
      <c r="N34" s="932">
        <v>0</v>
      </c>
      <c r="O34" s="932">
        <v>0</v>
      </c>
      <c r="P34" s="932">
        <v>0</v>
      </c>
    </row>
    <row r="35" spans="1:16" x14ac:dyDescent="0.25">
      <c r="A35" s="94"/>
      <c r="B35" s="38" t="s">
        <v>2629</v>
      </c>
      <c r="D35" s="457"/>
      <c r="E35" s="457"/>
      <c r="F35" s="457"/>
      <c r="G35" s="457"/>
      <c r="H35" s="457"/>
      <c r="I35" s="457"/>
      <c r="J35" s="457"/>
      <c r="K35" s="457"/>
      <c r="L35" s="457"/>
      <c r="M35" s="457"/>
      <c r="N35" s="457"/>
      <c r="O35" s="457"/>
      <c r="P35" s="457"/>
    </row>
    <row r="36" spans="1:16" x14ac:dyDescent="0.25">
      <c r="A36" s="94">
        <v>15</v>
      </c>
      <c r="B36" s="94"/>
      <c r="C36" s="924">
        <v>0</v>
      </c>
      <c r="D36" s="932">
        <v>0</v>
      </c>
      <c r="E36" s="932">
        <v>0</v>
      </c>
      <c r="F36" s="932">
        <v>0</v>
      </c>
      <c r="G36" s="932">
        <v>0</v>
      </c>
      <c r="H36" s="932">
        <v>0</v>
      </c>
      <c r="I36" s="932">
        <v>0</v>
      </c>
      <c r="J36" s="932">
        <v>0</v>
      </c>
      <c r="K36" s="932">
        <v>0</v>
      </c>
      <c r="L36" s="932">
        <v>0</v>
      </c>
      <c r="M36" s="932">
        <v>0</v>
      </c>
      <c r="N36" s="932">
        <v>0</v>
      </c>
      <c r="O36" s="932">
        <v>0</v>
      </c>
      <c r="P36" s="932">
        <v>0</v>
      </c>
    </row>
    <row r="37" spans="1:16" x14ac:dyDescent="0.25">
      <c r="A37" s="94"/>
      <c r="B37" s="38" t="s">
        <v>2630</v>
      </c>
      <c r="D37" s="457"/>
      <c r="E37" s="457"/>
      <c r="F37" s="457"/>
      <c r="G37" s="457"/>
      <c r="H37" s="457"/>
      <c r="I37" s="457"/>
      <c r="J37" s="457"/>
      <c r="K37" s="457"/>
      <c r="L37" s="457"/>
      <c r="M37" s="457"/>
      <c r="N37" s="457"/>
      <c r="O37" s="457"/>
      <c r="P37" s="457"/>
    </row>
    <row r="38" spans="1:16" x14ac:dyDescent="0.25">
      <c r="A38" s="94">
        <v>16</v>
      </c>
      <c r="B38" s="94"/>
      <c r="C38" s="924">
        <v>0</v>
      </c>
      <c r="D38" s="932">
        <v>0</v>
      </c>
      <c r="E38" s="932">
        <v>0</v>
      </c>
      <c r="F38" s="932">
        <v>0</v>
      </c>
      <c r="G38" s="932">
        <v>0</v>
      </c>
      <c r="H38" s="932">
        <v>0</v>
      </c>
      <c r="I38" s="932">
        <v>0</v>
      </c>
      <c r="J38" s="932">
        <v>0</v>
      </c>
      <c r="K38" s="932">
        <v>0</v>
      </c>
      <c r="L38" s="932">
        <v>0</v>
      </c>
      <c r="M38" s="932">
        <v>0</v>
      </c>
      <c r="N38" s="932">
        <v>0</v>
      </c>
      <c r="O38" s="932">
        <v>0</v>
      </c>
      <c r="P38" s="932">
        <v>0</v>
      </c>
    </row>
    <row r="39" spans="1:16" x14ac:dyDescent="0.25">
      <c r="A39" s="94"/>
      <c r="B39" s="94"/>
      <c r="C39" s="457"/>
      <c r="D39" s="457"/>
      <c r="E39" s="457"/>
      <c r="F39" s="457"/>
      <c r="G39" s="457"/>
      <c r="H39" s="457"/>
      <c r="I39" s="457"/>
      <c r="J39" s="457"/>
      <c r="K39" s="457"/>
      <c r="L39" s="457"/>
      <c r="M39" s="457"/>
      <c r="N39" s="457"/>
      <c r="O39" s="457"/>
      <c r="P39" s="457"/>
    </row>
    <row r="40" spans="1:16" x14ac:dyDescent="0.25">
      <c r="A40" s="94"/>
      <c r="B40" s="44" t="s">
        <v>382</v>
      </c>
      <c r="C40" s="457"/>
      <c r="D40" s="457"/>
      <c r="E40" s="457"/>
      <c r="F40" s="457"/>
      <c r="G40" s="457"/>
      <c r="H40" s="457"/>
      <c r="I40" s="457"/>
      <c r="J40" s="457"/>
      <c r="K40" s="457"/>
      <c r="L40" s="457"/>
      <c r="M40" s="457"/>
      <c r="N40" s="457"/>
      <c r="O40" s="457"/>
      <c r="P40" s="457"/>
    </row>
    <row r="41" spans="1:16" x14ac:dyDescent="0.25">
      <c r="A41" s="94"/>
      <c r="B41" s="443" t="s">
        <v>1651</v>
      </c>
      <c r="C41" s="457"/>
      <c r="D41" s="457"/>
      <c r="E41" s="457"/>
      <c r="F41" s="457"/>
      <c r="G41" s="457"/>
      <c r="H41" s="457"/>
      <c r="I41" s="457"/>
      <c r="J41" s="457"/>
      <c r="K41" s="457"/>
      <c r="L41" s="457"/>
      <c r="M41" s="457"/>
      <c r="N41" s="457"/>
      <c r="O41" s="457"/>
      <c r="P41" s="457"/>
    </row>
    <row r="42" spans="1:16" x14ac:dyDescent="0.25">
      <c r="A42" s="94"/>
      <c r="B42" s="447" t="s">
        <v>1662</v>
      </c>
      <c r="C42" s="457"/>
      <c r="D42" s="457"/>
      <c r="E42" s="457"/>
      <c r="F42" s="457"/>
      <c r="G42" s="457"/>
      <c r="H42" s="457"/>
      <c r="I42" s="457"/>
      <c r="J42" s="457"/>
      <c r="K42" s="457"/>
      <c r="L42" s="457"/>
      <c r="M42" s="457"/>
      <c r="N42" s="457"/>
      <c r="O42" s="457"/>
      <c r="P42" s="457"/>
    </row>
    <row r="43" spans="1:16" x14ac:dyDescent="0.25">
      <c r="B43" s="442"/>
      <c r="C43" s="13"/>
      <c r="D43" s="13"/>
      <c r="E43" s="13"/>
      <c r="F43" s="13"/>
      <c r="G43" s="13"/>
      <c r="H43" s="13"/>
      <c r="I43" s="13"/>
      <c r="J43" s="13"/>
    </row>
    <row r="44" spans="1:16" x14ac:dyDescent="0.25">
      <c r="B44" s="38" t="s">
        <v>233</v>
      </c>
      <c r="C44" s="13"/>
      <c r="D44" s="13"/>
      <c r="E44" s="13"/>
      <c r="F44" s="13"/>
      <c r="G44" s="13"/>
      <c r="H44" s="13"/>
      <c r="I44" s="13"/>
      <c r="J44" s="13"/>
    </row>
    <row r="45" spans="1:16" x14ac:dyDescent="0.25">
      <c r="B45" s="445" t="s">
        <v>1769</v>
      </c>
      <c r="C45" s="13"/>
      <c r="D45" s="13"/>
      <c r="E45" s="13"/>
      <c r="F45" s="13"/>
      <c r="G45" s="13"/>
      <c r="H45" s="13"/>
      <c r="I45" s="13"/>
      <c r="J45" s="13"/>
    </row>
    <row r="46" spans="1:16" x14ac:dyDescent="0.25">
      <c r="B46" s="445" t="s">
        <v>1770</v>
      </c>
      <c r="C46" s="13"/>
      <c r="D46" s="13"/>
      <c r="E46" s="13"/>
      <c r="F46" s="13"/>
      <c r="G46" s="13"/>
      <c r="H46" s="13"/>
      <c r="I46" s="13"/>
      <c r="J46" s="13"/>
    </row>
    <row r="47" spans="1:16" x14ac:dyDescent="0.25">
      <c r="B47" s="445" t="s">
        <v>2614</v>
      </c>
      <c r="C47" s="13"/>
      <c r="D47" s="13"/>
      <c r="E47" s="13"/>
      <c r="F47" s="13"/>
      <c r="G47" s="13"/>
      <c r="H47" s="13"/>
      <c r="I47" s="13"/>
      <c r="J47" s="13"/>
    </row>
    <row r="48" spans="1:16" x14ac:dyDescent="0.25">
      <c r="B48" s="445" t="s">
        <v>2615</v>
      </c>
      <c r="C48" s="13"/>
      <c r="D48" s="13"/>
      <c r="E48" s="13"/>
      <c r="F48" s="13"/>
      <c r="G48" s="13"/>
      <c r="H48" s="13"/>
      <c r="I48" s="13"/>
      <c r="J48" s="13"/>
    </row>
    <row r="49" spans="2:10" x14ac:dyDescent="0.25">
      <c r="B49" s="445" t="s">
        <v>2616</v>
      </c>
      <c r="C49" s="357"/>
      <c r="D49" s="13"/>
      <c r="E49" s="13"/>
      <c r="F49" s="13"/>
      <c r="G49" s="13"/>
      <c r="H49" s="13"/>
      <c r="I49" s="13"/>
      <c r="J49" s="13"/>
    </row>
    <row r="50" spans="2:10" x14ac:dyDescent="0.25">
      <c r="B50" s="445" t="s">
        <v>2617</v>
      </c>
      <c r="C50" s="357"/>
      <c r="D50" s="13"/>
      <c r="E50" s="13"/>
      <c r="F50" s="13"/>
      <c r="G50" s="13"/>
      <c r="H50" s="13"/>
      <c r="I50" s="13"/>
      <c r="J50" s="13"/>
    </row>
    <row r="51" spans="2:10" x14ac:dyDescent="0.25">
      <c r="B51" s="445" t="s">
        <v>2618</v>
      </c>
      <c r="C51" s="357"/>
      <c r="D51" s="13"/>
      <c r="E51" s="13"/>
      <c r="F51" s="13"/>
      <c r="G51" s="13"/>
      <c r="H51" s="13"/>
      <c r="I51" s="13"/>
      <c r="J51" s="13"/>
    </row>
    <row r="52" spans="2:10" x14ac:dyDescent="0.25">
      <c r="B52" s="445" t="s">
        <v>2619</v>
      </c>
      <c r="C52" s="357"/>
      <c r="D52" s="13"/>
      <c r="E52" s="13"/>
      <c r="F52" s="13"/>
      <c r="G52" s="13"/>
      <c r="H52" s="13"/>
      <c r="I52" s="13"/>
      <c r="J52" s="13"/>
    </row>
    <row r="53" spans="2:10" x14ac:dyDescent="0.25">
      <c r="B53" s="445" t="s">
        <v>2612</v>
      </c>
      <c r="C53" s="13"/>
      <c r="D53" s="13"/>
      <c r="E53" s="13"/>
      <c r="F53" s="13"/>
      <c r="G53" s="13"/>
      <c r="H53" s="13"/>
      <c r="I53" s="13"/>
      <c r="J53" s="13"/>
    </row>
    <row r="54" spans="2:10" x14ac:dyDescent="0.25">
      <c r="B54" s="445" t="s">
        <v>2613</v>
      </c>
      <c r="C54" s="13"/>
      <c r="D54" s="13"/>
      <c r="E54" s="13"/>
      <c r="F54" s="13"/>
      <c r="G54" s="13"/>
      <c r="H54" s="13"/>
      <c r="I54" s="13"/>
      <c r="J54" s="13"/>
    </row>
    <row r="55" spans="2:10" x14ac:dyDescent="0.25">
      <c r="B55" s="445" t="s">
        <v>2620</v>
      </c>
    </row>
    <row r="56" spans="2:10" x14ac:dyDescent="0.25">
      <c r="B56" s="445" t="s">
        <v>2621</v>
      </c>
    </row>
    <row r="57" spans="2:10" x14ac:dyDescent="0.25">
      <c r="B57" s="445" t="s">
        <v>2622</v>
      </c>
    </row>
    <row r="58" spans="2:10" x14ac:dyDescent="0.25">
      <c r="B58" s="1160" t="s">
        <v>2623</v>
      </c>
    </row>
    <row r="59" spans="2:10" x14ac:dyDescent="0.25">
      <c r="B59" s="1160" t="s">
        <v>2624</v>
      </c>
    </row>
    <row r="60" spans="2:10" x14ac:dyDescent="0.25">
      <c r="B60" s="1160" t="s">
        <v>2625</v>
      </c>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41</vt:i4>
      </vt:variant>
    </vt:vector>
  </HeadingPairs>
  <TitlesOfParts>
    <vt:vector size="81" baseType="lpstr">
      <vt:lpstr>Heading</vt:lpstr>
      <vt:lpstr>Contents</vt:lpstr>
      <vt:lpstr>Overview</vt:lpstr>
      <vt:lpstr>1-BaseTRR</vt:lpstr>
      <vt:lpstr>2-IFPTRR</vt:lpstr>
      <vt:lpstr>3-TrueUpAdjust</vt:lpstr>
      <vt:lpstr>4-TUTRR</vt:lpstr>
      <vt:lpstr>5-ROR-1</vt:lpstr>
      <vt:lpstr>5-ROR-2</vt:lpstr>
      <vt:lpstr>5-ROR-3</vt:lpstr>
      <vt:lpstr>5-ROR-4</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'3-TrueUpAdjust'!Print_Area</vt:lpstr>
      <vt:lpstr>'4-TUTRR'!Print_Area</vt:lpstr>
      <vt:lpstr>'5-ROR-1'!Print_Area</vt:lpstr>
      <vt:lpstr>'5-ROR-2'!Print_Area</vt:lpstr>
      <vt:lpstr>'5-ROR-3'!Print_Area</vt:lpstr>
      <vt:lpstr>'5-ROR-4'!Print_Area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2018-09-17T17:22:05Z</cp:lastPrinted>
  <dcterms:created xsi:type="dcterms:W3CDTF">2009-02-27T16:01:11Z</dcterms:created>
  <dcterms:modified xsi:type="dcterms:W3CDTF">2018-09-17T17:22:16Z</dcterms:modified>
</cp:coreProperties>
</file>