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yavin\Desktop\Revised Formula Retail Rate\"/>
    </mc:Choice>
  </mc:AlternateContent>
  <bookViews>
    <workbookView xWindow="0" yWindow="0" windowWidth="23040" windowHeight="9120"/>
  </bookViews>
  <sheets>
    <sheet name="TO201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f" localSheetId="0">#REF!</definedName>
    <definedName name="\f">#REF!</definedName>
    <definedName name="\k" localSheetId="0">#REF!</definedName>
    <definedName name="\k">#REF!</definedName>
    <definedName name="\m" localSheetId="0">#REF!</definedName>
    <definedName name="\m">#REF!</definedName>
    <definedName name="\p" localSheetId="0">#REF!</definedName>
    <definedName name="\p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x" localSheetId="0">#REF!</definedName>
    <definedName name="\x">#REF!</definedName>
    <definedName name="\z" localSheetId="0">#REF!</definedName>
    <definedName name="\z">#REF!</definedName>
    <definedName name="__2005_Cap_Labor_Cost_by_Union_Code" localSheetId="0">#REF!</definedName>
    <definedName name="__2005_Cap_Labor_Cost_by_Union_Code">#REF!</definedName>
    <definedName name="__2005_YTD_from_BPRS" localSheetId="0">#REF!</definedName>
    <definedName name="__2005_YTD_from_BPRS">#REF!</definedName>
    <definedName name="__ADJ2" localSheetId="0">#REF!</definedName>
    <definedName name="__ADJ2">#REF!</definedName>
    <definedName name="__CPP06" localSheetId="0">#REF!</definedName>
    <definedName name="__CPP06">#REF!</definedName>
    <definedName name="__CRD1" localSheetId="0">#REF!</definedName>
    <definedName name="__CRD1">#REF!</definedName>
    <definedName name="__CRD2" localSheetId="0">#REF!</definedName>
    <definedName name="__CRD2">#REF!</definedName>
    <definedName name="__CRD3" localSheetId="0">#REF!</definedName>
    <definedName name="__CRD3">#REF!</definedName>
    <definedName name="__CRD4" localSheetId="0">#REF!</definedName>
    <definedName name="__CRD4">#REF!</definedName>
    <definedName name="__CRD5" localSheetId="0">#REF!</definedName>
    <definedName name="__CRD5">#REF!</definedName>
    <definedName name="__E1" localSheetId="0">#REF!</definedName>
    <definedName name="__E1">#REF!</definedName>
    <definedName name="__GRC1" localSheetId="0">#REF!</definedName>
    <definedName name="__GRC1">#REF!</definedName>
    <definedName name="__PA12" localSheetId="0">#REF!</definedName>
    <definedName name="__PA12">#REF!</definedName>
    <definedName name="_1995_COSTS" localSheetId="0">#REF!</definedName>
    <definedName name="_1995_COSTS">#REF!</definedName>
    <definedName name="_2005_Cap_Labor_Cost_by_Union_Code" localSheetId="0">#REF!</definedName>
    <definedName name="_2005_Cap_Labor_Cost_by_Union_Code">#REF!</definedName>
    <definedName name="_2005_YTD_from_BPRS" localSheetId="0">#REF!</definedName>
    <definedName name="_2005_YTD_from_BPRS">#REF!</definedName>
    <definedName name="_ADJ2" localSheetId="0">#REF!</definedName>
    <definedName name="_ADJ2">#REF!</definedName>
    <definedName name="_AMO_UniqueIdentifier" hidden="1">"'3533e1c4-0d6a-4bff-a709-92d3a68d020c'"</definedName>
    <definedName name="_CPP06" localSheetId="0">#REF!</definedName>
    <definedName name="_CPP06">#REF!</definedName>
    <definedName name="_CRD1" localSheetId="0">#REF!</definedName>
    <definedName name="_CRD1">#REF!</definedName>
    <definedName name="_CRD2" localSheetId="0">#REF!</definedName>
    <definedName name="_CRD2">#REF!</definedName>
    <definedName name="_CRD3" localSheetId="0">#REF!</definedName>
    <definedName name="_CRD3">#REF!</definedName>
    <definedName name="_CRD4" localSheetId="0">#REF!</definedName>
    <definedName name="_CRD4">#REF!</definedName>
    <definedName name="_CRD5" localSheetId="0">#REF!</definedName>
    <definedName name="_CRD5">#REF!</definedName>
    <definedName name="_E1" localSheetId="0">#REF!</definedName>
    <definedName name="_E1">#REF!</definedName>
    <definedName name="_GRC1" localSheetId="0">#REF!</definedName>
    <definedName name="_GRC1">#REF!</definedName>
    <definedName name="_GS1" localSheetId="0">#REF!</definedName>
    <definedName name="_GS1">#REF!</definedName>
    <definedName name="_GS2" localSheetId="0">#REF!</definedName>
    <definedName name="_GS2">#REF!</definedName>
    <definedName name="_I6" localSheetId="0">#REF!</definedName>
    <definedName name="_I6">#REF!</definedName>
    <definedName name="_PA12" localSheetId="0">#REF!</definedName>
    <definedName name="_PA12">#REF!</definedName>
    <definedName name="ACCOUNTS" localSheetId="0">[1]SummaryPaste!#REF!</definedName>
    <definedName name="ACCOUNTS">[1]SummaryPaste!#REF!</definedName>
    <definedName name="ADJUST6" localSheetId="0">#REF!</definedName>
    <definedName name="ADJUST6">#REF!</definedName>
    <definedName name="ADJUST7" localSheetId="0">#REF!</definedName>
    <definedName name="ADJUST7">#REF!</definedName>
    <definedName name="adjustments" localSheetId="0">#REF!</definedName>
    <definedName name="adjustments">#REF!</definedName>
    <definedName name="AGTOU" localSheetId="0">#REF!</definedName>
    <definedName name="AGTOU">#REF!</definedName>
    <definedName name="base_rate_annual" localSheetId="0">#REF!</definedName>
    <definedName name="base_rate_annual">#REF!</definedName>
    <definedName name="BCOMP3" localSheetId="0">#REF!</definedName>
    <definedName name="BCOMP3">#REF!</definedName>
    <definedName name="BCOMP4" localSheetId="0">#REF!</definedName>
    <definedName name="BCOMP4">#REF!</definedName>
    <definedName name="BIP" localSheetId="0">#REF!</definedName>
    <definedName name="BIP">#REF!</definedName>
    <definedName name="Cost" localSheetId="0">#REF!</definedName>
    <definedName name="Cost">#REF!</definedName>
    <definedName name="CREDITS" localSheetId="0">#REF!</definedName>
    <definedName name="CREDITS">#REF!</definedName>
    <definedName name="Data_put" localSheetId="0">#REF!</definedName>
    <definedName name="Data_put">#REF!</definedName>
    <definedName name="DOM" localSheetId="0">#REF!</definedName>
    <definedName name="DOM">#REF!</definedName>
    <definedName name="DOMRD" localSheetId="0">#REF!</definedName>
    <definedName name="DOMRD">#REF!</definedName>
    <definedName name="DWL" localSheetId="0">'[2]Effective-Rates'!#REF!</definedName>
    <definedName name="DWL">'[2]Effective-Rates'!#REF!</definedName>
    <definedName name="ecabf_summer" localSheetId="0">'[2]Effective-Rates'!#REF!</definedName>
    <definedName name="ecabf_summer">'[2]Effective-Rates'!#REF!</definedName>
    <definedName name="ecabf_winter" localSheetId="0">'[2]Effective-Rates'!#REF!</definedName>
    <definedName name="ecabf_winter">'[2]Effective-Rates'!#REF!</definedName>
    <definedName name="elasticity" localSheetId="0">#REF!</definedName>
    <definedName name="elasticity">#REF!</definedName>
    <definedName name="EPMC1" localSheetId="0">#REF!</definedName>
    <definedName name="EPMC1">#REF!</definedName>
    <definedName name="EPMC2" localSheetId="0">#REF!</definedName>
    <definedName name="EPMC2">#REF!</definedName>
    <definedName name="EPMC3" localSheetId="0">#REF!</definedName>
    <definedName name="EPMC3">#REF!</definedName>
    <definedName name="EPMC4" localSheetId="0">#REF!</definedName>
    <definedName name="EPMC4">#REF!</definedName>
    <definedName name="Escalation">'[3]Customer MC'!$X$76</definedName>
    <definedName name="Escalation_2001_2004">'[4]Customer MC'!$C$63</definedName>
    <definedName name="Escalation_2004_2006">'[5]Customer MC'!$C$72</definedName>
    <definedName name="EXHIBIT" localSheetId="0">#REF!</definedName>
    <definedName name="EXHIBIT">#REF!</definedName>
    <definedName name="Final___5_yr_TDBU_Capital_Budget" localSheetId="0">#REF!</definedName>
    <definedName name="Final___5_yr_TDBU_Capital_Budget">#REF!</definedName>
    <definedName name="FOOTNOTES" localSheetId="0">#REF!</definedName>
    <definedName name="FOOTNOTES">#REF!</definedName>
    <definedName name="Gen.plant_loading_factor">[6]Loaders!$B$9</definedName>
    <definedName name="GRC" localSheetId="0">#REF!</definedName>
    <definedName name="GRC">#REF!</definedName>
    <definedName name="iso.T.land">[7]RCN!$E$23:$CG$23,[7]RCN!$E$15:$CG$15</definedName>
    <definedName name="JETSET" localSheetId="0">#REF!</definedName>
    <definedName name="JETSET">#REF!</definedName>
    <definedName name="low_income_discount_Baseline" localSheetId="0">'[2]Effective-Rates'!#REF!</definedName>
    <definedName name="low_income_discount_Baseline">'[2]Effective-Rates'!#REF!</definedName>
    <definedName name="LP" localSheetId="0">#REF!</definedName>
    <definedName name="LP">#REF!</definedName>
    <definedName name="LS_1_allnight" localSheetId="0">'[2]Effective-Rates'!#REF!</definedName>
    <definedName name="LS_1_allnight">'[2]Effective-Rates'!#REF!</definedName>
    <definedName name="LS_1_midnight" localSheetId="0">'[2]Effective-Rates'!#REF!</definedName>
    <definedName name="LS_1_midnight">'[2]Effective-Rates'!#REF!</definedName>
    <definedName name="LS_2_allnight" localSheetId="0">'[2]Effective-Rates'!#REF!</definedName>
    <definedName name="LS_2_allnight">'[2]Effective-Rates'!#REF!</definedName>
    <definedName name="LS_2_midnight" localSheetId="0">'[2]Effective-Rates'!#REF!</definedName>
    <definedName name="LS_2_midnight">'[2]Effective-Rates'!#REF!</definedName>
    <definedName name="LS_3" localSheetId="0">'[2]Effective-Rates'!#REF!</definedName>
    <definedName name="LS_3">'[2]Effective-Rates'!#REF!</definedName>
    <definedName name="MC__T_Land" localSheetId="0">#REF!</definedName>
    <definedName name="MC__T_Land">#REF!</definedName>
    <definedName name="mc_dist_circuits" localSheetId="0">#REF!</definedName>
    <definedName name="mc_dist_circuits">#REF!</definedName>
    <definedName name="mc_dist_land" localSheetId="0">#REF!</definedName>
    <definedName name="mc_dist_land">#REF!</definedName>
    <definedName name="mc_dist_station" localSheetId="0">#REF!</definedName>
    <definedName name="mc_dist_station">#REF!</definedName>
    <definedName name="mc_non_iso_t_circuits" localSheetId="0">#REF!</definedName>
    <definedName name="mc_non_iso_t_circuits">#REF!</definedName>
    <definedName name="MC_non_iso_T_Land" localSheetId="0">#REF!</definedName>
    <definedName name="MC_non_iso_T_Land">#REF!</definedName>
    <definedName name="MC_non_iso_t_station" localSheetId="0">#REF!</definedName>
    <definedName name="MC_non_iso_t_station">#REF!</definedName>
    <definedName name="mc_t_circuits" localSheetId="0">#REF!</definedName>
    <definedName name="mc_t_circuits">#REF!</definedName>
    <definedName name="MC_T_Land" localSheetId="0">#REF!</definedName>
    <definedName name="MC_T_Land">#REF!</definedName>
    <definedName name="MC_t_station" localSheetId="0">#REF!</definedName>
    <definedName name="MC_t_station">#REF!</definedName>
    <definedName name="MCRR_22" localSheetId="0">#REF!</definedName>
    <definedName name="MCRR_22">#REF!</definedName>
    <definedName name="MCRR_TABLE" localSheetId="0">#REF!</definedName>
    <definedName name="MCRR_TABLE">#REF!</definedName>
    <definedName name="MCRR_TABLE_W_RD" localSheetId="0">#REF!</definedName>
    <definedName name="MCRR_TABLE_W_RD">#REF!</definedName>
    <definedName name="MDD_Sector_1" localSheetId="0">#REF!</definedName>
    <definedName name="MDD_Sector_1">#REF!</definedName>
    <definedName name="MDD_Sector_2" localSheetId="0">#REF!</definedName>
    <definedName name="MDD_Sector_2">#REF!</definedName>
    <definedName name="Meters" localSheetId="0">#REF!</definedName>
    <definedName name="Meters">#REF!</definedName>
    <definedName name="MONTHLY" localSheetId="0">#REF!</definedName>
    <definedName name="MONTHLY">#REF!</definedName>
    <definedName name="Name" localSheetId="0">'[8]Proposed-RTP-Scalers'!#REF!</definedName>
    <definedName name="Name">'[8]Proposed-RTP-Scalers'!#REF!</definedName>
    <definedName name="Name1" localSheetId="0">'[8]Proposed-RTP-Scalers'!#REF!</definedName>
    <definedName name="Name1">'[8]Proposed-RTP-Scalers'!#REF!</definedName>
    <definedName name="non.iso.T.land">[7]RCN!$E$53:$CG$53,[7]RCN!$E$61:$CG$61</definedName>
    <definedName name="OL_1_Allnight" localSheetId="0">'[2]Effective-Rates'!#REF!</definedName>
    <definedName name="OL_1_Allnight">'[2]Effective-Rates'!#REF!</definedName>
    <definedName name="OL_1_Midnight" localSheetId="0">'[2]Effective-Rates'!#REF!</definedName>
    <definedName name="OL_1_Midnight">'[2]Effective-Rates'!#REF!</definedName>
    <definedName name="Other_offsets" localSheetId="0">#REF!</definedName>
    <definedName name="Other_offsets">#REF!</definedName>
    <definedName name="PAGE1.1_MCRR_21" localSheetId="0">#REF!</definedName>
    <definedName name="PAGE1.1_MCRR_21">#REF!</definedName>
    <definedName name="PAGE1_MCRR_16" localSheetId="0">#REF!</definedName>
    <definedName name="PAGE1_MCRR_16">#REF!</definedName>
    <definedName name="PAGE1_MCRR_21" localSheetId="0">#REF!</definedName>
    <definedName name="PAGE1_MCRR_21">#REF!</definedName>
    <definedName name="PAGE1_MCRR_30" localSheetId="0">#REF!</definedName>
    <definedName name="PAGE1_MCRR_30">#REF!</definedName>
    <definedName name="PAGE2.1_MCRR_21" localSheetId="0">#REF!</definedName>
    <definedName name="PAGE2.1_MCRR_21">#REF!</definedName>
    <definedName name="PAGE2_MCRR_16" localSheetId="0">#REF!</definedName>
    <definedName name="PAGE2_MCRR_16">#REF!</definedName>
    <definedName name="PAGE2_MCRR_21" localSheetId="0">#REF!</definedName>
    <definedName name="PAGE2_MCRR_21">#REF!</definedName>
    <definedName name="PAGE2_MCRR_30" localSheetId="0">#REF!</definedName>
    <definedName name="PAGE2_MCRR_30">#REF!</definedName>
    <definedName name="PAGE3.1_MCRR_21" localSheetId="0">#REF!</definedName>
    <definedName name="PAGE3.1_MCRR_21">#REF!</definedName>
    <definedName name="PAGE3_MCRR_16" localSheetId="0">#REF!</definedName>
    <definedName name="PAGE3_MCRR_16">#REF!</definedName>
    <definedName name="PAGE3_MCRR_21" localSheetId="0">#REF!</definedName>
    <definedName name="PAGE3_MCRR_21">#REF!</definedName>
    <definedName name="PAGE3_MCRR_30" localSheetId="0">#REF!</definedName>
    <definedName name="PAGE3_MCRR_30">#REF!</definedName>
    <definedName name="PAGE4_MCRR_16" localSheetId="0">#REF!</definedName>
    <definedName name="PAGE4_MCRR_16">#REF!</definedName>
    <definedName name="PAGE4_MCRR_21" localSheetId="0">#REF!</definedName>
    <definedName name="PAGE4_MCRR_21">#REF!</definedName>
    <definedName name="PAGE4_MCRR_30" localSheetId="0">#REF!</definedName>
    <definedName name="PAGE4_MCRR_30">#REF!</definedName>
    <definedName name="PAGE5_MCRR_16" localSheetId="0">#REF!</definedName>
    <definedName name="PAGE5_MCRR_16">#REF!</definedName>
    <definedName name="PAGE6.1_MCRR_16" localSheetId="0">#REF!</definedName>
    <definedName name="PAGE6.1_MCRR_16">#REF!</definedName>
    <definedName name="PAGE6_MCRR_16" localSheetId="0">#REF!</definedName>
    <definedName name="PAGE6_MCRR_16">#REF!</definedName>
    <definedName name="PAGE7.1_MCRR_16">#N/A</definedName>
    <definedName name="PAGE7_MCRR_16" localSheetId="0">#REF!</definedName>
    <definedName name="PAGE7_MCRR_16">#REF!</definedName>
    <definedName name="PAGE8_MCRR_16">#N/A</definedName>
    <definedName name="_xlnm.Print_Area" localSheetId="0">'TO2019'!$A$3:$P$132</definedName>
    <definedName name="_xlnm.Print_Area">#REF!</definedName>
    <definedName name="PRINT_AREA_MI" localSheetId="0">#REF!</definedName>
    <definedName name="PRINT_AREA_MI">#REF!</definedName>
    <definedName name="RCN_sector_1" localSheetId="0">#REF!</definedName>
    <definedName name="RCN_sector_1">#REF!</definedName>
    <definedName name="RCN_sector_2" localSheetId="0">#REF!</definedName>
    <definedName name="RCN_sector_2">#REF!</definedName>
    <definedName name="RELAMP" localSheetId="0">#REF!</definedName>
    <definedName name="RELAMP">#REF!</definedName>
    <definedName name="Sheet1" localSheetId="0">#REF!</definedName>
    <definedName name="Sheet1">#REF!</definedName>
    <definedName name="SUMM_1" localSheetId="0">#REF!</definedName>
    <definedName name="SUMM_1">#REF!</definedName>
    <definedName name="SYS_ADJ2" localSheetId="0">#REF!</definedName>
    <definedName name="SYS_ADJ2">#REF!</definedName>
    <definedName name="TC_1" localSheetId="0">#REF!</definedName>
    <definedName name="TC_1">#REF!</definedName>
    <definedName name="total_offsets_summer" localSheetId="0">#REF!</definedName>
    <definedName name="total_offsets_summer">#REF!</definedName>
    <definedName name="Total_offsets_winter" localSheetId="0">'[2]Effective-Rates'!#REF!</definedName>
    <definedName name="Total_offsets_winter">'[2]Effective-Rates'!#REF!</definedName>
    <definedName name="total_rates_summer" localSheetId="0">'[2]Effective-Rates'!#REF!</definedName>
    <definedName name="total_rates_summer">'[2]Effective-Rates'!#REF!</definedName>
    <definedName name="total_rates_winter" localSheetId="0">'[2]Effective-Rates'!#REF!</definedName>
    <definedName name="total_rates_winter">'[2]Effective-Rates'!#REF!</definedName>
    <definedName name="TOU_HEADER" localSheetId="0">#REF!</definedName>
    <definedName name="TOU_HEADER">#REF!</definedName>
    <definedName name="TOU_PA_5_1" localSheetId="0">#REF!</definedName>
    <definedName name="TOU_PA_5_1">#REF!</definedName>
    <definedName name="TOU_PA_5_2">#N/A</definedName>
    <definedName name="UMC_PAGE1" localSheetId="0">#REF!</definedName>
    <definedName name="UMC_PAGE1">#REF!</definedName>
    <definedName name="UMC_PAGE2" localSheetId="0">#REF!</definedName>
    <definedName name="UMC_PAGE2">#REF!</definedName>
    <definedName name="UMC_PAGE3" localSheetId="0">#REF!</definedName>
    <definedName name="UMC_PAGE3">#REF!</definedName>
    <definedName name="UMC_PAGE4" localSheetId="0">#REF!</definedName>
    <definedName name="UMC_PAGE4">#REF!</definedName>
    <definedName name="UMC_PAGE4.1" localSheetId="0">#REF!</definedName>
    <definedName name="UMC_PAGE4.1">#REF!</definedName>
    <definedName name="UMC_PAGE5" localSheetId="0">#REF!</definedName>
    <definedName name="UMC_PAGE5">#REF!</definedName>
    <definedName name="UMC_PAGE6" localSheetId="0">#REF!</definedName>
    <definedName name="UMC_PAGE6">#REF!</definedName>
    <definedName name="working_capital_factor">[6]Loaders!$D$20</definedName>
    <definedName name="YR06STBY" localSheetId="0">#REF!</definedName>
    <definedName name="YR06STBY">#REF!</definedName>
  </definedNames>
  <calcPr calcId="1790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F118" i="1"/>
  <c r="I118" i="1"/>
  <c r="J118" i="1"/>
  <c r="K118" i="1"/>
  <c r="L118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2" i="1"/>
  <c r="I117" i="1"/>
  <c r="J117" i="1"/>
  <c r="K117" i="1"/>
  <c r="L117" i="1"/>
  <c r="I119" i="1"/>
  <c r="J119" i="1"/>
  <c r="K119" i="1"/>
  <c r="L119" i="1"/>
  <c r="I120" i="1"/>
  <c r="J120" i="1"/>
  <c r="K120" i="1"/>
  <c r="L120" i="1"/>
  <c r="I121" i="1"/>
  <c r="J121" i="1"/>
  <c r="I122" i="1"/>
  <c r="J122" i="1"/>
  <c r="I123" i="1"/>
  <c r="J123" i="1"/>
  <c r="K123" i="1"/>
  <c r="L123" i="1"/>
  <c r="I124" i="1"/>
  <c r="J124" i="1"/>
  <c r="K124" i="1"/>
  <c r="L124" i="1"/>
  <c r="I125" i="1"/>
  <c r="J125" i="1"/>
  <c r="I126" i="1"/>
  <c r="J126" i="1"/>
  <c r="K126" i="1"/>
  <c r="L126" i="1"/>
  <c r="I127" i="1"/>
  <c r="J127" i="1"/>
  <c r="K127" i="1"/>
  <c r="L127" i="1"/>
  <c r="I128" i="1"/>
  <c r="J128" i="1"/>
  <c r="K128" i="1"/>
  <c r="L128" i="1"/>
  <c r="I129" i="1"/>
  <c r="J129" i="1"/>
  <c r="K129" i="1"/>
  <c r="L129" i="1"/>
  <c r="I130" i="1"/>
  <c r="J130" i="1"/>
  <c r="D38" i="1"/>
  <c r="J15" i="1"/>
  <c r="M15" i="1"/>
  <c r="I40" i="1"/>
  <c r="J22" i="1"/>
  <c r="I39" i="1"/>
  <c r="J21" i="1"/>
  <c r="I38" i="1"/>
  <c r="J20" i="1"/>
  <c r="J19" i="1"/>
  <c r="J18" i="1"/>
  <c r="H132" i="1"/>
  <c r="E132" i="1"/>
  <c r="D132" i="1"/>
  <c r="C132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A110" i="1"/>
  <c r="A111" i="1"/>
  <c r="A112" i="1"/>
  <c r="A113" i="1"/>
  <c r="A114" i="1"/>
  <c r="A115" i="1"/>
  <c r="A116" i="1"/>
  <c r="B92" i="1"/>
  <c r="B61" i="1"/>
  <c r="B60" i="1"/>
  <c r="B59" i="1"/>
  <c r="B58" i="1"/>
  <c r="B57" i="1"/>
  <c r="P56" i="1"/>
  <c r="B56" i="1"/>
  <c r="B55" i="1"/>
  <c r="B54" i="1"/>
  <c r="B53" i="1"/>
  <c r="B52" i="1"/>
  <c r="B51" i="1"/>
  <c r="B50" i="1"/>
  <c r="B49" i="1"/>
  <c r="B48" i="1"/>
  <c r="B47" i="1"/>
  <c r="D40" i="1"/>
  <c r="D39" i="1"/>
  <c r="A31" i="1"/>
  <c r="A32" i="1"/>
  <c r="A33" i="1"/>
  <c r="A34" i="1"/>
  <c r="A35" i="1"/>
  <c r="A36" i="1"/>
  <c r="I30" i="1"/>
  <c r="G30" i="1"/>
  <c r="F30" i="1"/>
  <c r="E30" i="1"/>
  <c r="J29" i="1"/>
  <c r="J28" i="1"/>
  <c r="J27" i="1"/>
  <c r="J26" i="1"/>
  <c r="J25" i="1"/>
  <c r="J24" i="1"/>
  <c r="J23" i="1"/>
  <c r="J17" i="1"/>
  <c r="J16" i="1"/>
  <c r="J14" i="1"/>
  <c r="J132" i="1"/>
  <c r="K130" i="1"/>
  <c r="L130" i="1"/>
  <c r="K125" i="1"/>
  <c r="L125" i="1"/>
  <c r="K121" i="1"/>
  <c r="L121" i="1"/>
  <c r="K122" i="1"/>
  <c r="L122" i="1"/>
  <c r="L132" i="1"/>
  <c r="M125" i="1"/>
  <c r="C23" i="1"/>
  <c r="D23" i="1"/>
  <c r="M121" i="1"/>
  <c r="C19" i="1"/>
  <c r="D19" i="1"/>
  <c r="J30" i="1"/>
  <c r="M119" i="1"/>
  <c r="C17" i="1"/>
  <c r="D17" i="1"/>
  <c r="M122" i="1"/>
  <c r="C20" i="1"/>
  <c r="D20" i="1"/>
  <c r="I132" i="1"/>
  <c r="M128" i="1"/>
  <c r="C26" i="1"/>
  <c r="D26" i="1"/>
  <c r="M126" i="1"/>
  <c r="C24" i="1"/>
  <c r="D24" i="1"/>
  <c r="C39" i="1"/>
  <c r="E39" i="1"/>
  <c r="I57" i="1"/>
  <c r="E57" i="1"/>
  <c r="K132" i="1"/>
  <c r="M124" i="1"/>
  <c r="C22" i="1"/>
  <c r="D22" i="1"/>
  <c r="L22" i="1"/>
  <c r="M120" i="1"/>
  <c r="C18" i="1"/>
  <c r="D18" i="1"/>
  <c r="H40" i="1"/>
  <c r="J40" i="1"/>
  <c r="L26" i="1"/>
  <c r="H38" i="1"/>
  <c r="J38" i="1"/>
  <c r="L20" i="1"/>
  <c r="M118" i="1"/>
  <c r="C15" i="1"/>
  <c r="D15" i="1"/>
  <c r="M117" i="1"/>
  <c r="M123" i="1"/>
  <c r="C21" i="1"/>
  <c r="D21" i="1"/>
  <c r="M127" i="1"/>
  <c r="C25" i="1"/>
  <c r="D25" i="1"/>
  <c r="L23" i="1"/>
  <c r="C38" i="1"/>
  <c r="E38" i="1"/>
  <c r="I56" i="1"/>
  <c r="L18" i="1"/>
  <c r="D50" i="1"/>
  <c r="K17" i="1"/>
  <c r="L19" i="1"/>
  <c r="M129" i="1"/>
  <c r="C27" i="1"/>
  <c r="D27" i="1"/>
  <c r="M130" i="1"/>
  <c r="C28" i="1"/>
  <c r="D28" i="1"/>
  <c r="L24" i="1"/>
  <c r="D56" i="1"/>
  <c r="D53" i="1"/>
  <c r="H56" i="1"/>
  <c r="C40" i="1"/>
  <c r="E40" i="1"/>
  <c r="I58" i="1"/>
  <c r="E58" i="1"/>
  <c r="L25" i="1"/>
  <c r="H39" i="1"/>
  <c r="J39" i="1"/>
  <c r="L21" i="1"/>
  <c r="D61" i="1"/>
  <c r="K28" i="1"/>
  <c r="I52" i="1"/>
  <c r="E52" i="1"/>
  <c r="D52" i="1"/>
  <c r="E56" i="1"/>
  <c r="I51" i="1"/>
  <c r="E51" i="1"/>
  <c r="D51" i="1"/>
  <c r="I59" i="1"/>
  <c r="C14" i="1"/>
  <c r="M132" i="1"/>
  <c r="L27" i="1"/>
  <c r="I60" i="1"/>
  <c r="E60" i="1"/>
  <c r="D60" i="1"/>
  <c r="C50" i="1"/>
  <c r="G50" i="1"/>
  <c r="K15" i="1"/>
  <c r="M16" i="1"/>
  <c r="D55" i="1"/>
  <c r="D58" i="1"/>
  <c r="C58" i="1"/>
  <c r="H58" i="1"/>
  <c r="C60" i="1"/>
  <c r="H60" i="1"/>
  <c r="C52" i="1"/>
  <c r="H52" i="1"/>
  <c r="M55" i="1"/>
  <c r="C55" i="1"/>
  <c r="H55" i="1"/>
  <c r="C30" i="1"/>
  <c r="D14" i="1"/>
  <c r="C61" i="1"/>
  <c r="G61" i="1"/>
  <c r="N16" i="1"/>
  <c r="L16" i="1"/>
  <c r="I49" i="1"/>
  <c r="E49" i="1"/>
  <c r="K59" i="1"/>
  <c r="E59" i="1"/>
  <c r="D59" i="1"/>
  <c r="D54" i="1"/>
  <c r="D57" i="1"/>
  <c r="C57" i="1"/>
  <c r="H57" i="1"/>
  <c r="H53" i="1"/>
  <c r="M53" i="1"/>
  <c r="C53" i="1"/>
  <c r="M51" i="1"/>
  <c r="M52" i="1"/>
  <c r="C51" i="1"/>
  <c r="H51" i="1"/>
  <c r="C56" i="1"/>
  <c r="C54" i="1"/>
  <c r="M54" i="1"/>
  <c r="H54" i="1"/>
  <c r="E63" i="1"/>
  <c r="D49" i="1"/>
  <c r="C59" i="1"/>
  <c r="H59" i="1"/>
  <c r="J59" i="1"/>
  <c r="H49" i="1"/>
  <c r="D30" i="1"/>
  <c r="K14" i="1"/>
  <c r="D48" i="1"/>
  <c r="D63" i="1"/>
  <c r="G48" i="1"/>
  <c r="C48" i="1"/>
  <c r="M49" i="1"/>
  <c r="C49" i="1"/>
  <c r="G49" i="1"/>
  <c r="C63" i="1"/>
</calcChain>
</file>

<file path=xl/comments1.xml><?xml version="1.0" encoding="utf-8"?>
<comments xmlns="http://schemas.openxmlformats.org/spreadsheetml/2006/main">
  <authors>
    <author>Hansen, Berton J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SCE TO2019 Draft Annual Update Base TRR</t>
        </r>
      </text>
    </comment>
  </commentList>
</comments>
</file>

<file path=xl/sharedStrings.xml><?xml version="1.0" encoding="utf-8"?>
<sst xmlns="http://schemas.openxmlformats.org/spreadsheetml/2006/main" count="296" uniqueCount="227">
  <si>
    <t>Exhibit 1 Attachment 3: Example Proposed Schedule 33 for SCE Transportation Electrification Filing</t>
  </si>
  <si>
    <t>Calculation of SCE Retail Transmission Rates</t>
  </si>
  <si>
    <t>Source</t>
  </si>
  <si>
    <t>Retail Base TRR:</t>
  </si>
  <si>
    <t>1-BaseTRR WS, Line 86</t>
  </si>
  <si>
    <t>Input cells are shaded yellow</t>
  </si>
  <si>
    <t>1) Derivation of "Total Demand Rate" and "Total Energy Rate":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</si>
  <si>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</si>
  <si>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</si>
  <si>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</si>
  <si>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</si>
  <si>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</si>
  <si>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</si>
  <si>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</si>
  <si>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</si>
  <si>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</si>
  <si>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</si>
  <si>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</si>
  <si>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</si>
  <si>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Col 13</t>
  </si>
  <si>
    <t>Col 14</t>
  </si>
  <si>
    <t>Note 1</t>
  </si>
  <si>
    <t>Note 2</t>
  </si>
  <si>
    <t>Note 3</t>
  </si>
  <si>
    <t>Note 4</t>
  </si>
  <si>
    <t>Note 5</t>
  </si>
  <si>
    <t>Note 6</t>
  </si>
  <si>
    <t>Note 7</t>
  </si>
  <si>
    <t>Sales Forecast Billing Determinants:</t>
  </si>
  <si>
    <t>Note 8</t>
  </si>
  <si>
    <t>= Retail Base TRR * Line1:Col1</t>
  </si>
  <si>
    <t>Sales Forecast (Not Including Backup)</t>
  </si>
  <si>
    <t>Sales Forecast (Backup)</t>
  </si>
  <si>
    <t>NEM Adjustment</t>
  </si>
  <si>
    <t>Applies to supplemental kW demand charges</t>
  </si>
  <si>
    <t>Applies to contracted standby kW demand charges</t>
  </si>
  <si>
    <t>= (Line1:Col3 + Line1:Col4) - Line1:Col5</t>
  </si>
  <si>
    <t>= Line1:Col2 / (Line1:Col8*10^6)</t>
  </si>
  <si>
    <t>= Line1:Col2 / ((Line1:Col6 + Line1:Col7)*10^3)</t>
  </si>
  <si>
    <t>Recorded Billing Determinants: to be applied to the Supplemental kW demand charges, and the Contracted Standby kW demand charges</t>
  </si>
  <si>
    <t xml:space="preserve">Line </t>
  </si>
  <si>
    <t>CPUC Rate Group</t>
  </si>
  <si>
    <t>12-CP factors</t>
  </si>
  <si>
    <t>Total Allocated costs</t>
  </si>
  <si>
    <t xml:space="preserve"> GWh</t>
  </si>
  <si>
    <t>Backup GWh</t>
  </si>
  <si>
    <t>NEM GWh</t>
  </si>
  <si>
    <t>Maximum demand - MW</t>
  </si>
  <si>
    <t>Standby demand - MW</t>
  </si>
  <si>
    <t>Billing Determinants with NEM Adjustment</t>
  </si>
  <si>
    <t>Total energy rate - $/kWh</t>
  </si>
  <si>
    <t>Total demand rate - $/kW-month</t>
  </si>
  <si>
    <t>GWh</t>
  </si>
  <si>
    <t>Notes</t>
  </si>
  <si>
    <t>1a</t>
  </si>
  <si>
    <t>Domestic</t>
  </si>
  <si>
    <t>1b</t>
  </si>
  <si>
    <t>GS-1</t>
  </si>
  <si>
    <r>
      <t>1b</t>
    </r>
    <r>
      <rPr>
        <b/>
        <vertAlign val="subscript"/>
        <sz val="10"/>
        <rFont val="Arial"/>
        <family val="2"/>
      </rPr>
      <t>2</t>
    </r>
  </si>
  <si>
    <t xml:space="preserve">       GS-1 continued</t>
  </si>
  <si>
    <t>Notes 9,10</t>
  </si>
  <si>
    <t>1c</t>
  </si>
  <si>
    <t>TC-1</t>
  </si>
  <si>
    <t>1d</t>
  </si>
  <si>
    <t>GS-2</t>
  </si>
  <si>
    <t>1e</t>
  </si>
  <si>
    <t>TOU-GS-3</t>
  </si>
  <si>
    <t>1f</t>
  </si>
  <si>
    <t>TOU-8-SEC</t>
  </si>
  <si>
    <t>1g</t>
  </si>
  <si>
    <t>TOU-8-PRI</t>
  </si>
  <si>
    <t>1h</t>
  </si>
  <si>
    <t>TOU-8-SUB</t>
  </si>
  <si>
    <t>1i</t>
  </si>
  <si>
    <t>TOU-8-Standby-SEC</t>
  </si>
  <si>
    <t>1j</t>
  </si>
  <si>
    <t>TOU-8-Standby-PRI</t>
  </si>
  <si>
    <t>1k</t>
  </si>
  <si>
    <t>TOU-8-Standby-SUB</t>
  </si>
  <si>
    <t>1l</t>
  </si>
  <si>
    <t>TOU-PA-2</t>
  </si>
  <si>
    <t>1m</t>
  </si>
  <si>
    <t>TOU-PA-3</t>
  </si>
  <si>
    <t>1n</t>
  </si>
  <si>
    <t>Street Lighting</t>
  </si>
  <si>
    <t>1o</t>
  </si>
  <si>
    <t>---</t>
  </si>
  <si>
    <t>Totals:</t>
  </si>
  <si>
    <r>
      <t>2) Determination of</t>
    </r>
    <r>
      <rPr>
        <b/>
        <strike/>
        <sz val="12"/>
        <rFont val="Arial"/>
        <family val="2"/>
      </rPr>
      <t xml:space="preserve"> </t>
    </r>
    <r>
      <rPr>
        <b/>
        <sz val="12"/>
        <rFont val="Arial"/>
        <family val="2"/>
      </rPr>
      <t>Demand Rates for Large Power (TOU-8) Rate Groups</t>
    </r>
  </si>
  <si>
    <t>from Line1:Col2</t>
  </si>
  <si>
    <t>from Line1:Col7</t>
  </si>
  <si>
    <t>= Col1 / Col2 / 10^3</t>
  </si>
  <si>
    <t>Note 11</t>
  </si>
  <si>
    <t>= Col 6 / (Col 7 * 10^3)</t>
  </si>
  <si>
    <r>
      <t>Standby</t>
    </r>
    <r>
      <rPr>
        <b/>
        <u/>
        <sz val="10"/>
        <rFont val="Arial"/>
        <family val="2"/>
      </rPr>
      <t xml:space="preserve"> </t>
    </r>
    <r>
      <rPr>
        <b/>
        <sz val="10"/>
        <rFont val="Arial"/>
        <family val="2"/>
      </rPr>
      <t>Allocated costs</t>
    </r>
  </si>
  <si>
    <t>Standby Demand - MW</t>
  </si>
  <si>
    <t>Contracted Standby Demand Charge $/kW</t>
  </si>
  <si>
    <t>Non-Standby Allocated Costs</t>
  </si>
  <si>
    <t>Sum of Standby and Non-Standby Demand</t>
  </si>
  <si>
    <t>Supplemental kW demand Charge $/kW</t>
  </si>
  <si>
    <t>9a</t>
  </si>
  <si>
    <t>9b</t>
  </si>
  <si>
    <t>9c</t>
  </si>
  <si>
    <t>9d</t>
  </si>
  <si>
    <t>3) End-User Transmission Rates</t>
  </si>
  <si>
    <t>= Col 2 + Col 3</t>
  </si>
  <si>
    <t>= Line1:Col2 - Line16:Col3</t>
  </si>
  <si>
    <t>= Line16:Col7 * Line1:Col7 *10^3</t>
  </si>
  <si>
    <t>= Line16:Col2 / (Line1:Col8 * 10^6)</t>
  </si>
  <si>
    <t>= Line16:Col2 / Line1:Col6 / 10^3</t>
  </si>
  <si>
    <t>from Line9:Col3</t>
  </si>
  <si>
    <t>= Line16:Col6 * 0.746</t>
  </si>
  <si>
    <t>= Line16:Col7 * 0.746</t>
  </si>
  <si>
    <t>Note 12</t>
  </si>
  <si>
    <t>Note 13</t>
  </si>
  <si>
    <t>Note 14</t>
  </si>
  <si>
    <t>Total Revenues</t>
  </si>
  <si>
    <t>Revenue associated with Supplemental Demand or Energy</t>
  </si>
  <si>
    <t>Standby Demand Revenue</t>
  </si>
  <si>
    <t>Energy Charge - $/kWh</t>
  </si>
  <si>
    <t>Supplemental Demand Charge - $/kW-month</t>
  </si>
  <si>
    <t>Contracted standby kW demand Charge - $/kW-month</t>
  </si>
  <si>
    <t>Supplemental Demand Charge - $/HP-month</t>
  </si>
  <si>
    <t>Contracted standby kW demand Charge - $/HP-month</t>
  </si>
  <si>
    <t>Transportation Electrification (TE) Energy Charge - $/kWh</t>
  </si>
  <si>
    <t>16a</t>
  </si>
  <si>
    <t>16b</t>
  </si>
  <si>
    <t>Note 15</t>
  </si>
  <si>
    <t>16c</t>
  </si>
  <si>
    <t>16d</t>
  </si>
  <si>
    <t>Note 16</t>
  </si>
  <si>
    <t>16e</t>
  </si>
  <si>
    <t>16f</t>
  </si>
  <si>
    <t>16g</t>
  </si>
  <si>
    <t>16h</t>
  </si>
  <si>
    <t>16i</t>
  </si>
  <si>
    <t>16j</t>
  </si>
  <si>
    <t>16k</t>
  </si>
  <si>
    <t>16l</t>
  </si>
  <si>
    <r>
      <t xml:space="preserve">Note </t>
    </r>
    <r>
      <rPr>
        <strike/>
        <sz val="10"/>
        <color rgb="FFFF0000"/>
        <rFont val="Arial"/>
        <family val="2"/>
      </rPr>
      <t>16</t>
    </r>
    <r>
      <rPr>
        <u/>
        <sz val="10"/>
        <color rgb="FFFF0000"/>
        <rFont val="Arial"/>
        <family val="2"/>
      </rPr>
      <t>17</t>
    </r>
  </si>
  <si>
    <t>16m</t>
  </si>
  <si>
    <t>16n</t>
  </si>
  <si>
    <t>16o</t>
  </si>
  <si>
    <t>Notes:</t>
  </si>
  <si>
    <t>1) See Col 9 of Lines 35a, 35b, 35c, etc.</t>
  </si>
  <si>
    <t>2) Sales forecast in total Giga-watt hours usage, represents the customers' total annual GWh usage.  Based on same forecast as Gross Load forecast in Schedule 32, Line 1, but at customer meter level.</t>
  </si>
  <si>
    <t xml:space="preserve">    Does not include Backup GWh included in Column 4 (the sum of Column 3 and 4 equals total Sales Forecast).</t>
  </si>
  <si>
    <t>3) Backup GWh represents the amount of electric service that is provided by SCE to a customer who has an onsite generating facility during unscheduled outages of the customer’s on-site generator.</t>
  </si>
  <si>
    <t xml:space="preserve">    Only applies to TOU-8-Standby-SEC, TOU-8-Standby-PRI, TOU-8-Standby-SUB Rate Groups.</t>
  </si>
  <si>
    <t>4) Amount of energy included in the sales forecast that is not subject to transmission charges pursuant to the California Public Utilities Commission (“CPUC”) approved Net Energy Metering Program.</t>
  </si>
  <si>
    <t>5) Sales forecast pertaining to the sum of monthly maximum supplemental Mega-watt demand, applies to demand charge schedules</t>
  </si>
  <si>
    <t>6) Sales forecast pertaining to the sum of monthly contracted standby Mega-watt demand, applies to standby schedules</t>
  </si>
  <si>
    <t>7) Net Forecast in total Giga-watt hours usage - represents the customers' annual Net GWh, applicable to Non-Demand Charge Schedules such as Residential or Small General Service</t>
  </si>
  <si>
    <t>8) Recorded sales from Sample meters adjusted for population - use to set the total demand rate for the optional time-of-use schedules within the GS-1 rate group</t>
  </si>
  <si>
    <t>9) Line 1b2, Col11 = Line 1b Col9 * Line 1b Col11 * 10^6</t>
  </si>
  <si>
    <t>10) Total demand rate for the optional time-of-use schedules within the GS-1 rate group, Line 1b2:Col10 =  Line 1b2:Col12 ( which = Line 1b2:Col11  / ((Line1b:Col12 + Line1b:Col13) * 10^3)</t>
  </si>
  <si>
    <t>11) Sum of the TOU-8 Standby and TOU-8 Non-Standby billing determinants in Line1:Col6</t>
  </si>
  <si>
    <t>12) For TOU-8 Rates revenue = Supplemental Demand Charge on Line 9 Column 8 * Maximum Demand on Lines 1 Column 6</t>
  </si>
  <si>
    <r>
      <t>13) For optional time-of-use schedules within the GS-1 rate group (Line16b:Col6), = (Line1b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:Col11</t>
    </r>
    <r>
      <rPr>
        <sz val="10"/>
        <rFont val="Arial"/>
        <family val="2"/>
      </rPr>
      <t xml:space="preserve"> - Line16:Col3) / Line1b:Col12</t>
    </r>
    <r>
      <rPr>
        <sz val="10"/>
        <rFont val="Arial"/>
        <family val="2"/>
      </rPr>
      <t xml:space="preserve"> / 10^3</t>
    </r>
  </si>
  <si>
    <r>
      <t>14) For the non TOU-8-Standby rate group, it is the minimum of Line16i:Col7, or the total demand rate in Line1:Col10</t>
    </r>
    <r>
      <rPr>
        <strike/>
        <sz val="10"/>
        <rFont val="Arial"/>
        <family val="2"/>
      </rPr>
      <t>9</t>
    </r>
  </si>
  <si>
    <t>15)  Applicable to time-of-use schedules within the GS-1 rate group</t>
  </si>
  <si>
    <t xml:space="preserve">16) Rates associated with Rate Groups GS-2 and TOU-GS-3 are calculated on a combined basis, so that the rate is the sum of the combined Revenue Associated with Supplemental Demand or Energy in </t>
  </si>
  <si>
    <t xml:space="preserve">      Column 2 (line 16d and 16e) divided by the sum of the sum of the Billing Determinants in Column 8 (Line 1d and 1e).</t>
  </si>
  <si>
    <r>
      <rPr>
        <strike/>
        <sz val="10"/>
        <color rgb="FFFF0000"/>
        <rFont val="Arial"/>
        <family val="2"/>
      </rPr>
      <t>16</t>
    </r>
    <r>
      <rPr>
        <u/>
        <sz val="10"/>
        <color rgb="FFFF0000"/>
        <rFont val="Arial"/>
        <family val="2"/>
      </rPr>
      <t>17</t>
    </r>
    <r>
      <rPr>
        <sz val="10"/>
        <rFont val="Arial"/>
        <family val="2"/>
      </rPr>
      <t>)  Applicable to the optional schedules that contain horse power charge such as PA-1</t>
    </r>
  </si>
  <si>
    <r>
      <rPr>
        <strike/>
        <sz val="10"/>
        <color rgb="FFFF0000"/>
        <rFont val="Arial"/>
        <family val="2"/>
      </rPr>
      <t>17</t>
    </r>
    <r>
      <rPr>
        <u/>
        <sz val="10"/>
        <color rgb="FFFF0000"/>
        <rFont val="Arial"/>
        <family val="2"/>
      </rPr>
      <t>18</t>
    </r>
    <r>
      <rPr>
        <sz val="10"/>
        <rFont val="Arial"/>
        <family val="2"/>
      </rPr>
      <t>) GWh for TOU-8-Standby-SEC, TOU-8-Standby-PRI, TOU-8-Standby-SUB Rate Groups are placed in TOU-8-SEC, TOU-8-PRI, TOU-8-SUB Rate Groups respectively.</t>
    </r>
  </si>
  <si>
    <t>Rate Schedules in each CPUC Rate Group:</t>
  </si>
  <si>
    <t>Rate Schedules included in Each Rate Group in the Rate Effective Period</t>
  </si>
  <si>
    <t>26a</t>
  </si>
  <si>
    <t>Includes Schedules D, D-CARE, D-FERA,TOU-D-T, TOU-EV-1, TOU-D-TEV, DE, D-SDP, D-SDP-O, DM, DMS-1, DMS-2, DMS-3, and DS.</t>
  </si>
  <si>
    <t>Domestic (con't)</t>
  </si>
  <si>
    <t xml:space="preserve">  D (Option CPP), D-CARE (Option CPP), TOU-D-Option A, TOU-D-Option B, TOU-D-3</t>
  </si>
  <si>
    <t>26b</t>
  </si>
  <si>
    <r>
      <t xml:space="preserve">Includes Schedules GS-1, TOU-EV-3, </t>
    </r>
    <r>
      <rPr>
        <sz val="10"/>
        <color rgb="FFFF0000"/>
        <rFont val="Arial"/>
        <family val="2"/>
      </rPr>
      <t>TOU-EV-7</t>
    </r>
    <r>
      <rPr>
        <sz val="10"/>
        <rFont val="Arial"/>
        <family val="2"/>
      </rPr>
      <t>, and TOU-GS-1 (Option A, B, RTP, CPP, Standby, GS-APS, GS-APS-E, and ME).</t>
    </r>
  </si>
  <si>
    <t>26c</t>
  </si>
  <si>
    <t>Includes Schedules TC-1, Wi-Fi-1, and WTR.</t>
  </si>
  <si>
    <t>26d</t>
  </si>
  <si>
    <r>
      <t>Includes Schedules GS-2, TOU-EV-4,</t>
    </r>
    <r>
      <rPr>
        <sz val="10"/>
        <color rgb="FFFF0000"/>
        <rFont val="Arial"/>
        <family val="2"/>
      </rPr>
      <t xml:space="preserve"> TOU-EV-8,</t>
    </r>
    <r>
      <rPr>
        <sz val="10"/>
        <rFont val="Arial"/>
        <family val="2"/>
      </rPr>
      <t xml:space="preserve"> and TOU-GS-2 (Option A, B, R, RTP, CPP, Standby, GS-APS, GS-APS-E, and ME). </t>
    </r>
  </si>
  <si>
    <t>26e</t>
  </si>
  <si>
    <r>
      <t xml:space="preserve">Includes Schedules TOU-GS-3-CPP, </t>
    </r>
    <r>
      <rPr>
        <sz val="10"/>
        <color rgb="FFFF0000"/>
        <rFont val="Arial"/>
        <family val="2"/>
      </rPr>
      <t>TOU-EV-8,</t>
    </r>
    <r>
      <rPr>
        <sz val="10"/>
        <rFont val="Arial"/>
        <family val="2"/>
      </rPr>
      <t xml:space="preserve"> and TOU-GS-3 (Option A, B, R, RTP, SOP, Standby, TOU-BIP, GS-APS, GS-APS-E, and ME).</t>
    </r>
  </si>
  <si>
    <t>26f</t>
  </si>
  <si>
    <r>
      <t xml:space="preserve">Includes Schedules TOU-8-CPP, TOU-8-RBU, </t>
    </r>
    <r>
      <rPr>
        <sz val="10"/>
        <color rgb="FFFF0000"/>
        <rFont val="Arial"/>
        <family val="2"/>
      </rPr>
      <t>TOU-EV-9</t>
    </r>
    <r>
      <rPr>
        <sz val="10"/>
        <rFont val="Arial"/>
        <family val="2"/>
      </rPr>
      <t>, and TOU-8 (Option A, B, R, RTP, TOU-BIP, GS-APS, GS-APS-E, Backup-B, and ME).</t>
    </r>
  </si>
  <si>
    <t>26g</t>
  </si>
  <si>
    <t>26h</t>
  </si>
  <si>
    <r>
      <t xml:space="preserve">Includes Schedules TOU-8-CPP, TOU-8-RBU, </t>
    </r>
    <r>
      <rPr>
        <sz val="10"/>
        <color rgb="FFFF0000"/>
        <rFont val="Arial"/>
        <family val="2"/>
      </rPr>
      <t>TOU-EV-9,</t>
    </r>
    <r>
      <rPr>
        <sz val="10"/>
        <rFont val="Arial"/>
        <family val="2"/>
      </rPr>
      <t xml:space="preserve"> and TOU-8 (Option A, B, R, RTP, TOU-BIP, GS-APS, GS-APS-E, Backup-B, and ME).</t>
    </r>
  </si>
  <si>
    <t>26i</t>
  </si>
  <si>
    <t>Includes Schedules TOU-8-Standby (Option B, RTP, TOU-BIP, GS-APS, GS-APS-E, and ME).</t>
  </si>
  <si>
    <t>26j</t>
  </si>
  <si>
    <t>Includes Schedules TOU-8-Standby (Option A, A2, B, RTP, TOU-BIP, GS-APS, GS-APS-E, and ME).</t>
  </si>
  <si>
    <t>26k</t>
  </si>
  <si>
    <t>26l</t>
  </si>
  <si>
    <t>Includes Schedules  PA-1, PA-2, TOU-PA-ICE, and TOU-PA-2 (Option A, B, RTP, SOP-1, SOP-2, CPP, Standby, and AP-I).</t>
  </si>
  <si>
    <t>26m</t>
  </si>
  <si>
    <t>Includes Schedules  TOU-PA-3-CPP, and TOU-PA-3 (Option A, B, RTP, SOP-1, SOP-2, Standby, and AP-I).</t>
  </si>
  <si>
    <t>26n</t>
  </si>
  <si>
    <t>Includes Schedules AL-2, AL-2-B, DWL, LS-1, LS-2, LS-3, LS-3-B, and OL-1.</t>
  </si>
  <si>
    <t>26o</t>
  </si>
  <si>
    <t>Recorded 12-CP Load Data by Rate Group (MW)</t>
  </si>
  <si>
    <t>= Line35:(Col1+Col2+Col3)/3</t>
  </si>
  <si>
    <t>from Line1:Col3</t>
  </si>
  <si>
    <t>from Line1:Col4</t>
  </si>
  <si>
    <t>= Col 7 + Col 8</t>
  </si>
  <si>
    <t>= Line35:(Col4*Col5/Col6*Col9)</t>
  </si>
  <si>
    <t>= Line35:(Col10 / total of Col10)</t>
  </si>
  <si>
    <r>
      <t>Note</t>
    </r>
    <r>
      <rPr>
        <u/>
        <sz val="10"/>
        <rFont val="Arial"/>
        <family val="2"/>
      </rPr>
      <t xml:space="preserve"> </t>
    </r>
    <r>
      <rPr>
        <u/>
        <sz val="10"/>
        <color rgb="FFFF0000"/>
        <rFont val="Arial"/>
        <family val="2"/>
      </rPr>
      <t>18</t>
    </r>
    <r>
      <rPr>
        <strike/>
        <sz val="10"/>
        <color rgb="FFFF0000"/>
        <rFont val="Arial"/>
        <family val="2"/>
      </rPr>
      <t>17</t>
    </r>
  </si>
  <si>
    <t>12-CP MW</t>
  </si>
  <si>
    <t>3-Year Average</t>
  </si>
  <si>
    <t>Line losses</t>
  </si>
  <si>
    <t>Recorded GWh (Average)</t>
  </si>
  <si>
    <t>Standby Adjusted Sales Forecast - GWh</t>
  </si>
  <si>
    <t>Total Sales Forecast - GWh</t>
  </si>
  <si>
    <t>Loss Adjusted Average 12-CP</t>
  </si>
  <si>
    <t>12-CP Allocation factors</t>
  </si>
  <si>
    <t>35a</t>
  </si>
  <si>
    <t>35b</t>
  </si>
  <si>
    <t>35c</t>
  </si>
  <si>
    <t>35d</t>
  </si>
  <si>
    <t>35e</t>
  </si>
  <si>
    <t>35f</t>
  </si>
  <si>
    <t>35g</t>
  </si>
  <si>
    <t>35h</t>
  </si>
  <si>
    <t>35i</t>
  </si>
  <si>
    <t>35j</t>
  </si>
  <si>
    <t>35k</t>
  </si>
  <si>
    <t>35l</t>
  </si>
  <si>
    <t>35m</t>
  </si>
  <si>
    <t>35n</t>
  </si>
  <si>
    <t>35o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</si>
</sst>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#,##0.0_);[Red]\(#,##0.0\)"/>
    <numFmt numFmtId="167" formatCode="&quot;$&quot;#,##0.00000"/>
    <numFmt numFmtId="168" formatCode="&quot;$&quot;#,##0.00"/>
    <numFmt numFmtId="169" formatCode="0.00000_);[Red]\(0.00000\)"/>
    <numFmt numFmtId="170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b/>
      <vertAlign val="subscript"/>
      <sz val="10"/>
      <name val="Arial"/>
      <family val="2"/>
    </font>
    <font>
      <b/>
      <strike/>
      <sz val="12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b/>
      <strike/>
      <u/>
      <sz val="10"/>
      <color rgb="FFFF0000"/>
      <name val="Arial"/>
      <family val="2"/>
    </font>
    <font>
      <b/>
      <strike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color rgb="FFFF000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u/>
      <sz val="10"/>
      <color rgb="FFFF0000"/>
      <name val="Arial"/>
      <family val="2"/>
    </font>
    <font>
      <b/>
      <sz val="9"/>
      <color indexed="81"/>
      <name val="Tahoma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7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3" applyFont="1"/>
    <xf numFmtId="0" fontId="2" fillId="0" borderId="0" xfId="3"/>
    <xf numFmtId="0" fontId="2" fillId="0" borderId="0" xfId="3" applyAlignment="1">
      <alignment horizontal="center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right"/>
    </xf>
    <xf numFmtId="164" fontId="2" fillId="0" borderId="0" xfId="1" applyNumberFormat="1" applyFont="1"/>
    <xf numFmtId="0" fontId="2" fillId="0" borderId="0" xfId="3" applyAlignment="1">
      <alignment horizontal="left" indent="1"/>
    </xf>
    <xf numFmtId="0" fontId="5" fillId="2" borderId="0" xfId="4" applyFont="1" applyFill="1"/>
    <xf numFmtId="0" fontId="2" fillId="3" borderId="0" xfId="4" applyFill="1"/>
    <xf numFmtId="165" fontId="2" fillId="0" borderId="0" xfId="3" applyNumberFormat="1"/>
    <xf numFmtId="0" fontId="4" fillId="0" borderId="0" xfId="3" quotePrefix="1" applyFont="1" applyAlignment="1">
      <alignment horizontal="center"/>
    </xf>
    <xf numFmtId="0" fontId="2" fillId="0" borderId="0" xfId="3" quotePrefix="1" applyAlignment="1">
      <alignment horizontal="center" wrapText="1"/>
    </xf>
    <xf numFmtId="0" fontId="6" fillId="0" borderId="0" xfId="3" applyFont="1" applyAlignment="1">
      <alignment horizontal="center"/>
    </xf>
    <xf numFmtId="0" fontId="2" fillId="0" borderId="0" xfId="3" applyAlignment="1">
      <alignment vertical="center" wrapText="1"/>
    </xf>
    <xf numFmtId="0" fontId="4" fillId="0" borderId="0" xfId="3" quotePrefix="1" applyFont="1" applyAlignment="1">
      <alignment horizontal="center" vertical="center" wrapText="1"/>
    </xf>
    <xf numFmtId="0" fontId="2" fillId="0" borderId="4" xfId="3" quotePrefix="1" applyBorder="1" applyAlignment="1">
      <alignment horizontal="center" wrapText="1"/>
    </xf>
    <xf numFmtId="0" fontId="2" fillId="0" borderId="5" xfId="3" applyBorder="1" applyAlignment="1">
      <alignment horizontal="center" wrapText="1"/>
    </xf>
    <xf numFmtId="0" fontId="2" fillId="0" borderId="0" xfId="3" applyAlignment="1">
      <alignment horizontal="center" wrapText="1"/>
    </xf>
    <xf numFmtId="0" fontId="2" fillId="0" borderId="5" xfId="3" quotePrefix="1" applyBorder="1" applyAlignment="1">
      <alignment horizontal="center" wrapText="1"/>
    </xf>
    <xf numFmtId="0" fontId="2" fillId="0" borderId="4" xfId="3" quotePrefix="1" applyBorder="1" applyAlignment="1">
      <alignment horizontal="center" vertical="center" wrapText="1"/>
    </xf>
    <xf numFmtId="0" fontId="2" fillId="0" borderId="4" xfId="3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0" xfId="3" applyAlignment="1">
      <alignment horizontal="center" vertical="center" wrapText="1"/>
    </xf>
    <xf numFmtId="0" fontId="5" fillId="0" borderId="8" xfId="3" applyFont="1" applyBorder="1" applyAlignment="1">
      <alignment horizontal="center" wrapText="1"/>
    </xf>
    <xf numFmtId="0" fontId="5" fillId="0" borderId="8" xfId="3" quotePrefix="1" applyFont="1" applyBorder="1" applyAlignment="1">
      <alignment horizont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7" xfId="3" applyFont="1" applyBorder="1" applyAlignment="1">
      <alignment horizontal="center"/>
    </xf>
    <xf numFmtId="0" fontId="5" fillId="0" borderId="7" xfId="3" applyFont="1" applyBorder="1" applyAlignment="1">
      <alignment horizontal="center" wrapText="1"/>
    </xf>
    <xf numFmtId="0" fontId="5" fillId="0" borderId="8" xfId="3" applyFont="1" applyBorder="1" applyAlignment="1">
      <alignment horizontal="center"/>
    </xf>
    <xf numFmtId="0" fontId="5" fillId="0" borderId="0" xfId="3" applyFont="1" applyAlignment="1">
      <alignment horizontal="center"/>
    </xf>
    <xf numFmtId="166" fontId="2" fillId="2" borderId="0" xfId="5" applyNumberFormat="1" applyFill="1" applyAlignment="1">
      <alignment horizontal="left"/>
    </xf>
    <xf numFmtId="10" fontId="2" fillId="0" borderId="0" xfId="3" applyNumberFormat="1"/>
    <xf numFmtId="38" fontId="2" fillId="3" borderId="0" xfId="6" applyNumberFormat="1" applyFont="1" applyFill="1"/>
    <xf numFmtId="38" fontId="2" fillId="3" borderId="0" xfId="3" applyNumberFormat="1" applyFill="1"/>
    <xf numFmtId="38" fontId="2" fillId="3" borderId="0" xfId="7" applyNumberFormat="1" applyFont="1" applyFill="1"/>
    <xf numFmtId="38" fontId="2" fillId="3" borderId="0" xfId="8" applyNumberFormat="1" applyFont="1" applyFill="1"/>
    <xf numFmtId="3" fontId="2" fillId="0" borderId="0" xfId="3" applyNumberFormat="1"/>
    <xf numFmtId="167" fontId="2" fillId="0" borderId="0" xfId="3" applyNumberFormat="1" applyAlignment="1">
      <alignment horizontal="center"/>
    </xf>
    <xf numFmtId="0" fontId="2" fillId="0" borderId="0" xfId="3" quotePrefix="1" applyAlignment="1">
      <alignment horizontal="center"/>
    </xf>
    <xf numFmtId="3" fontId="2" fillId="3" borderId="0" xfId="6" applyNumberFormat="1" applyFont="1" applyFill="1" applyAlignment="1">
      <alignment horizontal="center"/>
    </xf>
    <xf numFmtId="3" fontId="2" fillId="3" borderId="0" xfId="7" applyNumberFormat="1" applyFont="1" applyFill="1" applyAlignment="1">
      <alignment horizontal="center"/>
    </xf>
    <xf numFmtId="3" fontId="2" fillId="3" borderId="0" xfId="8" applyNumberFormat="1" applyFont="1" applyFill="1" applyAlignment="1">
      <alignment horizontal="center"/>
    </xf>
    <xf numFmtId="168" fontId="2" fillId="0" borderId="9" xfId="3" applyNumberFormat="1" applyBorder="1" applyAlignment="1">
      <alignment horizontal="center"/>
    </xf>
    <xf numFmtId="165" fontId="2" fillId="0" borderId="10" xfId="3" applyNumberFormat="1" applyBorder="1"/>
    <xf numFmtId="168" fontId="2" fillId="0" borderId="10" xfId="3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3" applyBorder="1" applyAlignment="1">
      <alignment horizontal="center"/>
    </xf>
    <xf numFmtId="168" fontId="2" fillId="0" borderId="0" xfId="3" applyNumberFormat="1" applyAlignment="1">
      <alignment horizontal="center"/>
    </xf>
    <xf numFmtId="168" fontId="2" fillId="0" borderId="0" xfId="3" applyNumberFormat="1"/>
    <xf numFmtId="3" fontId="7" fillId="0" borderId="0" xfId="9" applyNumberFormat="1"/>
    <xf numFmtId="3" fontId="7" fillId="0" borderId="0" xfId="10" applyNumberFormat="1"/>
    <xf numFmtId="3" fontId="7" fillId="0" borderId="0" xfId="8" applyNumberFormat="1" applyAlignment="1">
      <alignment horizontal="center"/>
    </xf>
    <xf numFmtId="166" fontId="2" fillId="2" borderId="0" xfId="5" quotePrefix="1" applyNumberFormat="1" applyFill="1" applyAlignment="1">
      <alignment horizontal="left"/>
    </xf>
    <xf numFmtId="3" fontId="7" fillId="3" borderId="0" xfId="6" applyNumberFormat="1" applyFill="1"/>
    <xf numFmtId="0" fontId="2" fillId="3" borderId="0" xfId="3" applyFill="1"/>
    <xf numFmtId="3" fontId="7" fillId="3" borderId="0" xfId="7" applyNumberFormat="1" applyFill="1"/>
    <xf numFmtId="3" fontId="7" fillId="3" borderId="0" xfId="8" applyNumberFormat="1" applyFill="1"/>
    <xf numFmtId="166" fontId="2" fillId="0" borderId="0" xfId="5" applyNumberFormat="1" applyAlignment="1">
      <alignment horizontal="right"/>
    </xf>
    <xf numFmtId="10" fontId="2" fillId="0" borderId="8" xfId="3" applyNumberFormat="1" applyBorder="1"/>
    <xf numFmtId="165" fontId="2" fillId="0" borderId="8" xfId="3" applyNumberFormat="1" applyBorder="1"/>
    <xf numFmtId="3" fontId="2" fillId="0" borderId="8" xfId="3" applyNumberFormat="1" applyBorder="1"/>
    <xf numFmtId="9" fontId="2" fillId="0" borderId="0" xfId="2" applyFont="1"/>
    <xf numFmtId="3" fontId="7" fillId="0" borderId="0" xfId="7" applyNumberFormat="1"/>
    <xf numFmtId="0" fontId="2" fillId="0" borderId="0" xfId="3" quotePrefix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11" fillId="0" borderId="0" xfId="3" quotePrefix="1" applyFont="1" applyAlignment="1">
      <alignment horizontal="center" wrapText="1"/>
    </xf>
    <xf numFmtId="0" fontId="12" fillId="0" borderId="0" xfId="3" quotePrefix="1" applyFont="1" applyAlignment="1">
      <alignment horizontal="center"/>
    </xf>
    <xf numFmtId="2" fontId="5" fillId="0" borderId="5" xfId="3" applyNumberFormat="1" applyFont="1" applyBorder="1" applyAlignment="1">
      <alignment horizontal="center" wrapText="1"/>
    </xf>
    <xf numFmtId="2" fontId="5" fillId="0" borderId="8" xfId="3" applyNumberFormat="1" applyFont="1" applyBorder="1" applyAlignment="1">
      <alignment horizontal="center" wrapText="1"/>
    </xf>
    <xf numFmtId="2" fontId="13" fillId="0" borderId="12" xfId="3" applyNumberFormat="1" applyFont="1" applyBorder="1" applyAlignment="1">
      <alignment horizontal="center" wrapText="1"/>
    </xf>
    <xf numFmtId="2" fontId="5" fillId="0" borderId="13" xfId="3" applyNumberFormat="1" applyFont="1" applyBorder="1" applyAlignment="1">
      <alignment horizontal="center" wrapText="1"/>
    </xf>
    <xf numFmtId="2" fontId="13" fillId="0" borderId="0" xfId="3" applyNumberFormat="1" applyFont="1" applyAlignment="1">
      <alignment horizontal="center" wrapText="1"/>
    </xf>
    <xf numFmtId="2" fontId="2" fillId="0" borderId="0" xfId="3" applyNumberFormat="1" applyAlignment="1">
      <alignment horizontal="center" wrapText="1"/>
    </xf>
    <xf numFmtId="2" fontId="5" fillId="0" borderId="0" xfId="3" applyNumberFormat="1" applyFont="1" applyAlignment="1">
      <alignment horizontal="center"/>
    </xf>
    <xf numFmtId="2" fontId="2" fillId="2" borderId="0" xfId="5" applyNumberFormat="1" applyFill="1" applyAlignment="1">
      <alignment horizontal="left"/>
    </xf>
    <xf numFmtId="3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2" fontId="11" fillId="0" borderId="0" xfId="3" applyNumberFormat="1" applyFont="1"/>
    <xf numFmtId="2" fontId="2" fillId="0" borderId="0" xfId="3" applyNumberFormat="1"/>
    <xf numFmtId="165" fontId="11" fillId="0" borderId="0" xfId="3" applyNumberFormat="1" applyFont="1"/>
    <xf numFmtId="1" fontId="11" fillId="0" borderId="0" xfId="3" applyNumberFormat="1" applyFont="1"/>
    <xf numFmtId="166" fontId="3" fillId="0" borderId="0" xfId="5" applyNumberFormat="1" applyFont="1" applyAlignment="1">
      <alignment horizontal="left"/>
    </xf>
    <xf numFmtId="0" fontId="15" fillId="0" borderId="0" xfId="3" quotePrefix="1" applyFont="1" applyAlignment="1">
      <alignment horizontal="center"/>
    </xf>
    <xf numFmtId="0" fontId="5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/>
    </xf>
    <xf numFmtId="166" fontId="5" fillId="0" borderId="8" xfId="5" applyNumberFormat="1" applyFont="1" applyBorder="1" applyAlignment="1">
      <alignment horizontal="center"/>
    </xf>
    <xf numFmtId="167" fontId="2" fillId="0" borderId="0" xfId="3" quotePrefix="1" applyNumberFormat="1" applyAlignment="1">
      <alignment horizontal="center"/>
    </xf>
    <xf numFmtId="165" fontId="2" fillId="0" borderId="0" xfId="3" quotePrefix="1" applyNumberFormat="1" applyAlignment="1">
      <alignment horizontal="center"/>
    </xf>
    <xf numFmtId="165" fontId="2" fillId="0" borderId="0" xfId="3" applyNumberFormat="1" applyAlignment="1">
      <alignment horizontal="right"/>
    </xf>
    <xf numFmtId="168" fontId="2" fillId="0" borderId="9" xfId="3" quotePrefix="1" applyNumberFormat="1" applyBorder="1" applyAlignment="1">
      <alignment horizontal="center"/>
    </xf>
    <xf numFmtId="169" fontId="2" fillId="0" borderId="0" xfId="3" applyNumberFormat="1" applyAlignment="1">
      <alignment horizontal="center"/>
    </xf>
    <xf numFmtId="2" fontId="2" fillId="0" borderId="0" xfId="3" applyNumberFormat="1" applyAlignment="1">
      <alignment horizontal="center"/>
    </xf>
    <xf numFmtId="168" fontId="2" fillId="0" borderId="0" xfId="3" quotePrefix="1" applyNumberFormat="1" applyAlignment="1">
      <alignment horizontal="center"/>
    </xf>
    <xf numFmtId="9" fontId="2" fillId="0" borderId="0" xfId="3" applyNumberFormat="1" applyAlignment="1">
      <alignment horizontal="center"/>
    </xf>
    <xf numFmtId="166" fontId="2" fillId="0" borderId="0" xfId="5" applyNumberFormat="1" applyAlignment="1">
      <alignment horizontal="left"/>
    </xf>
    <xf numFmtId="0" fontId="4" fillId="0" borderId="0" xfId="3" applyFont="1"/>
    <xf numFmtId="0" fontId="2" fillId="0" borderId="0" xfId="3" applyAlignment="1">
      <alignment horizontal="left"/>
    </xf>
    <xf numFmtId="0" fontId="2" fillId="0" borderId="0" xfId="3" applyAlignment="1">
      <alignment readingOrder="1"/>
    </xf>
    <xf numFmtId="0" fontId="5" fillId="0" borderId="4" xfId="3" applyFont="1" applyBorder="1"/>
    <xf numFmtId="0" fontId="2" fillId="0" borderId="6" xfId="3" applyBorder="1"/>
    <xf numFmtId="0" fontId="2" fillId="0" borderId="7" xfId="3" applyBorder="1"/>
    <xf numFmtId="166" fontId="2" fillId="3" borderId="0" xfId="5" applyNumberFormat="1" applyFill="1" applyAlignment="1">
      <alignment horizontal="left"/>
    </xf>
    <xf numFmtId="0" fontId="2" fillId="3" borderId="0" xfId="5" applyFill="1" applyAlignment="1">
      <alignment horizontal="left" vertical="top" indent="1"/>
    </xf>
    <xf numFmtId="166" fontId="2" fillId="3" borderId="0" xfId="5" quotePrefix="1" applyNumberFormat="1" applyFill="1" applyAlignment="1">
      <alignment horizontal="left"/>
    </xf>
    <xf numFmtId="0" fontId="5" fillId="0" borderId="0" xfId="3" applyFont="1" applyAlignment="1">
      <alignment horizontal="center" vertical="center"/>
    </xf>
    <xf numFmtId="0" fontId="2" fillId="0" borderId="0" xfId="3" applyAlignment="1">
      <alignment wrapText="1"/>
    </xf>
    <xf numFmtId="0" fontId="4" fillId="0" borderId="0" xfId="3" quotePrefix="1" applyFont="1" applyAlignment="1">
      <alignment horizontal="center" wrapText="1"/>
    </xf>
    <xf numFmtId="0" fontId="2" fillId="0" borderId="0" xfId="3" quotePrefix="1" applyAlignment="1">
      <alignment horizontal="center" vertical="top" wrapText="1"/>
    </xf>
    <xf numFmtId="0" fontId="2" fillId="0" borderId="14" xfId="3" applyBorder="1"/>
    <xf numFmtId="0" fontId="5" fillId="2" borderId="14" xfId="3" applyFont="1" applyFill="1" applyBorder="1" applyAlignment="1">
      <alignment horizontal="center" wrapText="1"/>
    </xf>
    <xf numFmtId="0" fontId="4" fillId="0" borderId="14" xfId="3" quotePrefix="1" applyFont="1" applyBorder="1" applyAlignment="1">
      <alignment horizontal="center"/>
    </xf>
    <xf numFmtId="0" fontId="5" fillId="2" borderId="13" xfId="3" applyFont="1" applyFill="1" applyBorder="1" applyAlignment="1">
      <alignment horizontal="center" wrapText="1"/>
    </xf>
    <xf numFmtId="0" fontId="5" fillId="2" borderId="15" xfId="3" applyFont="1" applyFill="1" applyBorder="1" applyAlignment="1">
      <alignment horizontal="center" wrapText="1"/>
    </xf>
    <xf numFmtId="0" fontId="5" fillId="2" borderId="5" xfId="3" applyFont="1" applyFill="1" applyBorder="1" applyAlignment="1">
      <alignment horizontal="center" wrapText="1"/>
    </xf>
    <xf numFmtId="3" fontId="2" fillId="3" borderId="0" xfId="3" applyNumberFormat="1" applyFill="1"/>
    <xf numFmtId="170" fontId="0" fillId="3" borderId="0" xfId="0" applyNumberFormat="1" applyFill="1" applyAlignment="1">
      <alignment horizontal="center"/>
    </xf>
    <xf numFmtId="164" fontId="17" fillId="3" borderId="0" xfId="11" applyNumberFormat="1" applyFill="1"/>
    <xf numFmtId="10" fontId="17" fillId="0" borderId="8" xfId="12" applyNumberFormat="1" applyFont="1" applyBorder="1"/>
    <xf numFmtId="0" fontId="6" fillId="0" borderId="0" xfId="3" quotePrefix="1" applyFont="1" applyAlignment="1">
      <alignment horizontal="center" vertical="center" wrapText="1"/>
    </xf>
    <xf numFmtId="169" fontId="6" fillId="0" borderId="0" xfId="3" applyNumberFormat="1" applyFont="1" applyAlignment="1">
      <alignment horizontal="center"/>
    </xf>
    <xf numFmtId="2" fontId="6" fillId="0" borderId="16" xfId="3" applyNumberFormat="1" applyFont="1" applyBorder="1" applyAlignment="1">
      <alignment horizontal="center" wrapText="1"/>
    </xf>
    <xf numFmtId="0" fontId="15" fillId="0" borderId="0" xfId="3" quotePrefix="1" applyFont="1" applyFill="1" applyBorder="1" applyAlignment="1">
      <alignment horizontal="center"/>
    </xf>
    <xf numFmtId="0" fontId="6" fillId="0" borderId="0" xfId="3" quotePrefix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6" fillId="0" borderId="0" xfId="3" applyFont="1" applyFill="1" applyBorder="1"/>
    <xf numFmtId="2" fontId="6" fillId="0" borderId="0" xfId="3" applyNumberFormat="1" applyFont="1" applyFill="1" applyBorder="1" applyAlignment="1">
      <alignment horizontal="center" wrapText="1"/>
    </xf>
    <xf numFmtId="2" fontId="6" fillId="0" borderId="0" xfId="3" applyNumberFormat="1" applyFont="1" applyFill="1" applyBorder="1" applyAlignment="1">
      <alignment horizontal="center"/>
    </xf>
    <xf numFmtId="9" fontId="6" fillId="0" borderId="0" xfId="3" applyNumberFormat="1" applyFont="1" applyFill="1" applyBorder="1" applyAlignment="1">
      <alignment horizontal="center"/>
    </xf>
    <xf numFmtId="169" fontId="6" fillId="0" borderId="18" xfId="3" applyNumberFormat="1" applyFont="1" applyBorder="1" applyAlignment="1">
      <alignment horizontal="center"/>
    </xf>
    <xf numFmtId="169" fontId="6" fillId="0" borderId="20" xfId="3" applyNumberFormat="1" applyFont="1" applyBorder="1" applyAlignment="1">
      <alignment horizontal="center"/>
    </xf>
    <xf numFmtId="0" fontId="6" fillId="0" borderId="0" xfId="3" applyFont="1"/>
    <xf numFmtId="0" fontId="2" fillId="0" borderId="1" xfId="3" applyBorder="1" applyAlignment="1">
      <alignment horizontal="center"/>
    </xf>
    <xf numFmtId="0" fontId="2" fillId="0" borderId="2" xfId="3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2" fillId="0" borderId="3" xfId="3" applyBorder="1" applyAlignment="1">
      <alignment horizontal="center"/>
    </xf>
    <xf numFmtId="167" fontId="6" fillId="0" borderId="17" xfId="3" quotePrefix="1" applyNumberFormat="1" applyFont="1" applyBorder="1" applyAlignment="1">
      <alignment horizontal="center" vertical="center"/>
    </xf>
    <xf numFmtId="167" fontId="6" fillId="0" borderId="19" xfId="3" quotePrefix="1" applyNumberFormat="1" applyFont="1" applyBorder="1" applyAlignment="1">
      <alignment horizontal="center" vertical="center"/>
    </xf>
  </cellXfs>
  <cellStyles count="13">
    <cellStyle name="Comma" xfId="1" builtinId="3"/>
    <cellStyle name="Comma 8" xfId="11"/>
    <cellStyle name="Normal" xfId="0" builtinId="0"/>
    <cellStyle name="Normal 12" xfId="6"/>
    <cellStyle name="Normal 13" xfId="8"/>
    <cellStyle name="Normal 14" xfId="7"/>
    <cellStyle name="Normal 15" xfId="10"/>
    <cellStyle name="Normal 16" xfId="9"/>
    <cellStyle name="Normal 2 7" xfId="4"/>
    <cellStyle name="Normal 8" xfId="3"/>
    <cellStyle name="Normal_Rate-Design" xfId="5"/>
    <cellStyle name="Percent" xfId="2" builtinId="5"/>
    <cellStyle name="Percent 3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ata\CPP\LargePower_2003\AG_Accoun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ATA\Interim-RD\Interim-Rates(filed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ocuments%20and%20Settings\chengs\My%20Documents\2009%20GRC\Phase%20II\Scenario%2041\55%25%20BLA\090330\RD%20Model_V2\DOCUME~1\tangdc\LOCALS~1\Temp\notesE1EF34\PBC\Marginal%20Customer%20Costs%202009%20v4%2014NOV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ocuments%20and%20Settings\tangdc\My%20Documents\2003-GRC%20(Application)\Errata\Marginal%20Customer%20Costs%20UPDAT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OCUME~1\pardor\LOCALS~1\Temp\notesFFF692\~535519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DOCUME~1\tangdc\LOCALS~1\Temp\C.Lotus.Notes.Data\NCO%20method%20rebuttal%20with%20new%20cust%20foreca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windows\TEMP\C.Lotus.Notes.Data\RCN-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2001%20ACRA-RACRA\Summary%20to%20PU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2"/>
      <sheetName val="Summary"/>
      <sheetName val="SummaryPaste"/>
      <sheetName val="Accounts_100_Pct"/>
      <sheetName val="Accounts_80_Pct"/>
      <sheetName val="Accounts_50_Pct"/>
      <sheetName val="Accounts_25_Pct"/>
      <sheetName val="Accounts_0_Pc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TC-Total"/>
      <sheetName val="APS&amp;Int"/>
      <sheetName val="Frozen-Rate-Adjustment"/>
      <sheetName val="1996-Def-Adj"/>
      <sheetName val="1998-Def-Adj"/>
      <sheetName val="Frozen-Rate-PRR"/>
      <sheetName val="Deficiency-RD"/>
      <sheetName val="Interim-Rates (filed)"/>
      <sheetName val="Effective-Rates"/>
      <sheetName val="Residential-RD"/>
      <sheetName val="CTC-RD"/>
      <sheetName val="Revenue-Allo"/>
      <sheetName val="RevReq"/>
      <sheetName val="Forecasted-PX"/>
      <sheetName val="Recorded-PX"/>
      <sheetName val="TRA"/>
      <sheetName val="BDefs"/>
      <sheetName val="2001-Forecas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MC"/>
      <sheetName val="SL Customer MC"/>
      <sheetName val="TOU Adder"/>
      <sheetName val="FLT O&amp;M"/>
      <sheetName val="Cust stats"/>
      <sheetName val="Sheet1"/>
      <sheetName val="testimony chart"/>
      <sheetName val="GS-1 Chart"/>
      <sheetName val="Comparison"/>
    </sheetNames>
    <sheetDataSet>
      <sheetData sheetId="0">
        <row r="76">
          <cell r="X76">
            <v>1.0542140000000002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MC"/>
      <sheetName val="TOU Adder"/>
      <sheetName val="FLT O&amp;M"/>
      <sheetName val="Cust Data"/>
    </sheetNames>
    <sheetDataSet>
      <sheetData sheetId="0" refreshError="1">
        <row r="63">
          <cell r="C63">
            <v>1.0645256155786891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MC"/>
      <sheetName val="TOU Adder"/>
      <sheetName val="FLT O&amp;M"/>
      <sheetName val="Cust Data"/>
      <sheetName val="Sheet1"/>
      <sheetName val="testimony chart"/>
    </sheetNames>
    <sheetDataSet>
      <sheetData sheetId="0" refreshError="1">
        <row r="72">
          <cell r="C72">
            <v>1.0597790830512823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 Data"/>
      <sheetName val="Sheet1"/>
      <sheetName val="Loaders"/>
    </sheetNames>
    <sheetDataSet>
      <sheetData sheetId="0"/>
      <sheetData sheetId="1"/>
      <sheetData sheetId="2" refreshError="1">
        <row r="9">
          <cell r="B9">
            <v>8.3913634788826547E-2</v>
          </cell>
        </row>
        <row r="20">
          <cell r="D20">
            <v>3.4678243280144836E-3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N"/>
      <sheetName val="RCN Summary"/>
      <sheetName val="RCN_MC"/>
      <sheetName val="T&amp;D O&amp;M"/>
      <sheetName val="Design Demand"/>
      <sheetName val="Dist EE"/>
      <sheetName val="Escalation"/>
      <sheetName val="Loaders"/>
      <sheetName val="Dist Summary"/>
      <sheetName val="RCN zone"/>
      <sheetName val="TD O&amp;M"/>
      <sheetName val="FLT O&amp;M"/>
      <sheetName val="RCN_MC_(OLD)"/>
    </sheetNames>
    <sheetDataSet>
      <sheetData sheetId="0" refreshError="1">
        <row r="15">
          <cell r="E15">
            <v>65596</v>
          </cell>
          <cell r="G15">
            <v>72847</v>
          </cell>
          <cell r="I15">
            <v>175405</v>
          </cell>
          <cell r="K15">
            <v>469</v>
          </cell>
          <cell r="M15">
            <v>102422</v>
          </cell>
          <cell r="O15">
            <v>202404</v>
          </cell>
          <cell r="Q15">
            <v>619143</v>
          </cell>
          <cell r="S15">
            <v>20489</v>
          </cell>
          <cell r="U15">
            <v>49483</v>
          </cell>
          <cell r="W15">
            <v>4289</v>
          </cell>
          <cell r="Y15">
            <v>11264</v>
          </cell>
          <cell r="AA15">
            <v>204739</v>
          </cell>
          <cell r="AC15">
            <v>10170</v>
          </cell>
          <cell r="AE15">
            <v>300434</v>
          </cell>
          <cell r="AG15">
            <v>122274</v>
          </cell>
          <cell r="AI15">
            <v>2130</v>
          </cell>
          <cell r="AK15">
            <v>66514</v>
          </cell>
          <cell r="AM15">
            <v>10752</v>
          </cell>
          <cell r="AO15">
            <v>5481</v>
          </cell>
          <cell r="AQ15">
            <v>5984</v>
          </cell>
          <cell r="AS15">
            <v>213135</v>
          </cell>
          <cell r="AU15">
            <v>12403</v>
          </cell>
          <cell r="AW15">
            <v>13483</v>
          </cell>
          <cell r="AY15">
            <v>1490</v>
          </cell>
          <cell r="BA15">
            <v>586</v>
          </cell>
          <cell r="BC15">
            <v>8310</v>
          </cell>
          <cell r="BE15">
            <v>65555</v>
          </cell>
          <cell r="BG15">
            <v>101827</v>
          </cell>
          <cell r="BI15">
            <v>514</v>
          </cell>
          <cell r="BK15">
            <v>857</v>
          </cell>
          <cell r="BM15">
            <v>13035</v>
          </cell>
          <cell r="BO15">
            <v>7136</v>
          </cell>
          <cell r="BQ15">
            <v>0</v>
          </cell>
          <cell r="BS15">
            <v>5786</v>
          </cell>
          <cell r="BU15">
            <v>472</v>
          </cell>
          <cell r="BW15">
            <v>451</v>
          </cell>
          <cell r="BY15">
            <v>6038</v>
          </cell>
          <cell r="CA15">
            <v>3444</v>
          </cell>
          <cell r="CC15">
            <v>37733</v>
          </cell>
          <cell r="CE15">
            <v>0</v>
          </cell>
          <cell r="CG15">
            <v>1272272</v>
          </cell>
        </row>
        <row r="23">
          <cell r="E23">
            <v>163</v>
          </cell>
          <cell r="G23">
            <v>3092</v>
          </cell>
          <cell r="I23">
            <v>320</v>
          </cell>
          <cell r="K23">
            <v>5</v>
          </cell>
          <cell r="M23">
            <v>90</v>
          </cell>
          <cell r="O23">
            <v>48</v>
          </cell>
          <cell r="Q23">
            <v>3718</v>
          </cell>
          <cell r="S23">
            <v>80</v>
          </cell>
          <cell r="U23">
            <v>3689</v>
          </cell>
          <cell r="W23">
            <v>52</v>
          </cell>
          <cell r="Y23">
            <v>2702</v>
          </cell>
          <cell r="AA23">
            <v>102</v>
          </cell>
          <cell r="AC23">
            <v>85</v>
          </cell>
          <cell r="AE23">
            <v>6710</v>
          </cell>
          <cell r="AG23">
            <v>2968</v>
          </cell>
          <cell r="AI23">
            <v>644</v>
          </cell>
          <cell r="AK23">
            <v>1567</v>
          </cell>
          <cell r="AM23">
            <v>715</v>
          </cell>
          <cell r="AO23">
            <v>1487</v>
          </cell>
          <cell r="AQ23">
            <v>3468</v>
          </cell>
          <cell r="AS23">
            <v>10849</v>
          </cell>
          <cell r="AU23">
            <v>1736</v>
          </cell>
          <cell r="AW23">
            <v>2062</v>
          </cell>
          <cell r="AY23">
            <v>357</v>
          </cell>
          <cell r="BA23">
            <v>63</v>
          </cell>
          <cell r="BC23">
            <v>4100</v>
          </cell>
          <cell r="BE23">
            <v>4727</v>
          </cell>
          <cell r="BG23">
            <v>13045</v>
          </cell>
          <cell r="BI23">
            <v>130</v>
          </cell>
          <cell r="BK23">
            <v>1595</v>
          </cell>
          <cell r="BM23">
            <v>1585</v>
          </cell>
          <cell r="BO23">
            <v>936</v>
          </cell>
          <cell r="BQ23">
            <v>0</v>
          </cell>
          <cell r="BS23">
            <v>2066</v>
          </cell>
          <cell r="BU23">
            <v>50</v>
          </cell>
          <cell r="BW23">
            <v>10</v>
          </cell>
          <cell r="BY23">
            <v>15</v>
          </cell>
          <cell r="CA23">
            <v>5861</v>
          </cell>
          <cell r="CC23">
            <v>12248</v>
          </cell>
          <cell r="CE23">
            <v>4658</v>
          </cell>
          <cell r="CG23">
            <v>51228</v>
          </cell>
        </row>
        <row r="53">
          <cell r="E53">
            <v>18807</v>
          </cell>
          <cell r="G53">
            <v>12342</v>
          </cell>
          <cell r="I53">
            <v>8868</v>
          </cell>
          <cell r="K53">
            <v>2555</v>
          </cell>
          <cell r="M53">
            <v>21356</v>
          </cell>
          <cell r="O53">
            <v>35912</v>
          </cell>
          <cell r="Q53">
            <v>99840</v>
          </cell>
          <cell r="S53">
            <v>11483</v>
          </cell>
          <cell r="U53">
            <v>20873</v>
          </cell>
          <cell r="W53">
            <v>17618</v>
          </cell>
          <cell r="Y53">
            <v>16640</v>
          </cell>
          <cell r="AA53">
            <v>11174</v>
          </cell>
          <cell r="AC53">
            <v>16195</v>
          </cell>
          <cell r="AE53">
            <v>93983</v>
          </cell>
          <cell r="AG53">
            <v>17305</v>
          </cell>
          <cell r="AI53">
            <v>14038</v>
          </cell>
          <cell r="AK53">
            <v>20247</v>
          </cell>
          <cell r="AM53">
            <v>6966</v>
          </cell>
          <cell r="AO53">
            <v>10688</v>
          </cell>
          <cell r="AQ53">
            <v>6165</v>
          </cell>
          <cell r="AS53">
            <v>75409</v>
          </cell>
          <cell r="AU53">
            <v>8698</v>
          </cell>
          <cell r="AW53">
            <v>14205</v>
          </cell>
          <cell r="AY53">
            <v>9042</v>
          </cell>
          <cell r="BA53">
            <v>4730</v>
          </cell>
          <cell r="BC53">
            <v>12822</v>
          </cell>
          <cell r="BE53">
            <v>14386</v>
          </cell>
          <cell r="BG53">
            <v>63883</v>
          </cell>
          <cell r="BI53">
            <v>4087</v>
          </cell>
          <cell r="BK53">
            <v>1999</v>
          </cell>
          <cell r="BM53">
            <v>4310</v>
          </cell>
          <cell r="BO53">
            <v>4194</v>
          </cell>
          <cell r="BQ53">
            <v>0</v>
          </cell>
          <cell r="BS53">
            <v>11924</v>
          </cell>
          <cell r="BU53">
            <v>4138</v>
          </cell>
          <cell r="BW53">
            <v>4424</v>
          </cell>
          <cell r="BY53">
            <v>9068</v>
          </cell>
          <cell r="CA53">
            <v>4073</v>
          </cell>
          <cell r="CC53">
            <v>48217</v>
          </cell>
          <cell r="CE53">
            <v>0</v>
          </cell>
          <cell r="CG53">
            <v>381332</v>
          </cell>
        </row>
        <row r="61">
          <cell r="E61">
            <v>95</v>
          </cell>
          <cell r="G61">
            <v>131</v>
          </cell>
          <cell r="I61">
            <v>136</v>
          </cell>
          <cell r="K61">
            <v>43</v>
          </cell>
          <cell r="M61">
            <v>129</v>
          </cell>
          <cell r="O61">
            <v>129</v>
          </cell>
          <cell r="Q61">
            <v>663</v>
          </cell>
          <cell r="S61">
            <v>134</v>
          </cell>
          <cell r="U61">
            <v>138</v>
          </cell>
          <cell r="W61">
            <v>85</v>
          </cell>
          <cell r="Y61">
            <v>128</v>
          </cell>
          <cell r="AA61">
            <v>97</v>
          </cell>
          <cell r="AC61">
            <v>88</v>
          </cell>
          <cell r="AE61">
            <v>670</v>
          </cell>
          <cell r="AG61">
            <v>432</v>
          </cell>
          <cell r="AI61">
            <v>452</v>
          </cell>
          <cell r="AK61">
            <v>610</v>
          </cell>
          <cell r="AM61">
            <v>205</v>
          </cell>
          <cell r="AO61">
            <v>404</v>
          </cell>
          <cell r="AQ61">
            <v>263</v>
          </cell>
          <cell r="AS61">
            <v>2366</v>
          </cell>
          <cell r="AU61">
            <v>171</v>
          </cell>
          <cell r="AW61">
            <v>417</v>
          </cell>
          <cell r="AY61">
            <v>212</v>
          </cell>
          <cell r="BA61">
            <v>86</v>
          </cell>
          <cell r="BC61">
            <v>274</v>
          </cell>
          <cell r="BE61">
            <v>162</v>
          </cell>
          <cell r="BG61">
            <v>1322</v>
          </cell>
          <cell r="BI61">
            <v>318</v>
          </cell>
          <cell r="BK61">
            <v>48</v>
          </cell>
          <cell r="BM61">
            <v>129</v>
          </cell>
          <cell r="BO61">
            <v>130</v>
          </cell>
          <cell r="BQ61">
            <v>0</v>
          </cell>
          <cell r="BS61">
            <v>255</v>
          </cell>
          <cell r="BU61">
            <v>163</v>
          </cell>
          <cell r="BW61">
            <v>85</v>
          </cell>
          <cell r="BY61">
            <v>128</v>
          </cell>
          <cell r="CA61">
            <v>175</v>
          </cell>
          <cell r="CC61">
            <v>1431</v>
          </cell>
          <cell r="CE61">
            <v>0</v>
          </cell>
          <cell r="CG61">
            <v>6452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ed-Excl"/>
      <sheetName val="Proposed-RTP-Scalers"/>
      <sheetName val="RTP-Template"/>
      <sheetName val="Proposed-Distb-Rates"/>
      <sheetName val="Current-RTP-Rates"/>
      <sheetName val="Current-RTP-Excl"/>
      <sheetName val="Proposed-RTP-Excl"/>
      <sheetName val="Proposed-RTP-Rates"/>
      <sheetName val="Proposed-Tariff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254"/>
  <sheetViews>
    <sheetView showGridLines="0" tabSelected="1" zoomScale="75" zoomScaleNormal="75" zoomScalePageLayoutView="75" workbookViewId="0"/>
  </sheetViews>
  <sheetFormatPr defaultColWidth="9.109375" defaultRowHeight="13.2" x14ac:dyDescent="0.25"/>
  <cols>
    <col min="1" max="1" width="5.44140625" style="2" customWidth="1"/>
    <col min="2" max="2" width="18.5546875" style="2" customWidth="1"/>
    <col min="3" max="12" width="15.6640625" style="2" customWidth="1"/>
    <col min="13" max="13" width="18.5546875" style="3" customWidth="1"/>
    <col min="14" max="15" width="16.6640625" style="2" customWidth="1"/>
    <col min="16" max="16384" width="9.109375" style="2"/>
  </cols>
  <sheetData>
    <row r="1" spans="1:16" ht="15.6" x14ac:dyDescent="0.3">
      <c r="A1" s="1" t="s">
        <v>0</v>
      </c>
    </row>
    <row r="3" spans="1:16" ht="15.6" x14ac:dyDescent="0.3">
      <c r="A3" s="1" t="s">
        <v>1</v>
      </c>
    </row>
    <row r="4" spans="1:16" ht="14.25" customHeight="1" x14ac:dyDescent="0.3">
      <c r="A4" s="1"/>
    </row>
    <row r="5" spans="1:16" x14ac:dyDescent="0.25">
      <c r="E5" s="4" t="s">
        <v>2</v>
      </c>
    </row>
    <row r="6" spans="1:16" x14ac:dyDescent="0.25">
      <c r="C6" s="5" t="s">
        <v>3</v>
      </c>
      <c r="D6" s="6">
        <v>1038125395</v>
      </c>
      <c r="E6" s="7" t="s">
        <v>4</v>
      </c>
      <c r="G6" s="8" t="s">
        <v>5</v>
      </c>
      <c r="H6" s="9"/>
    </row>
    <row r="7" spans="1:16" x14ac:dyDescent="0.25">
      <c r="C7" s="5"/>
      <c r="D7" s="10"/>
      <c r="E7" s="7"/>
    </row>
    <row r="8" spans="1:16" ht="15.6" x14ac:dyDescent="0.3">
      <c r="B8" s="1" t="s">
        <v>6</v>
      </c>
      <c r="D8" s="5"/>
      <c r="E8" s="10"/>
      <c r="F8" s="7"/>
    </row>
    <row r="9" spans="1:16" x14ac:dyDescent="0.25">
      <c r="C9" s="11" t="s">
        <v>7</v>
      </c>
      <c r="D9" s="11" t="s">
        <v>8</v>
      </c>
      <c r="E9" s="11" t="s">
        <v>9</v>
      </c>
      <c r="F9" s="11" t="s">
        <v>10</v>
      </c>
      <c r="G9" s="11" t="s">
        <v>11</v>
      </c>
      <c r="H9" s="11" t="s">
        <v>12</v>
      </c>
      <c r="I9" s="11" t="s">
        <v>13</v>
      </c>
      <c r="J9" s="11" t="s">
        <v>14</v>
      </c>
      <c r="K9" s="11" t="s">
        <v>15</v>
      </c>
      <c r="L9" s="11" t="s">
        <v>16</v>
      </c>
      <c r="M9" s="11" t="s">
        <v>17</v>
      </c>
      <c r="N9" s="4" t="s">
        <v>18</v>
      </c>
      <c r="O9" s="4" t="s">
        <v>19</v>
      </c>
      <c r="P9" s="4" t="s">
        <v>20</v>
      </c>
    </row>
    <row r="10" spans="1:16" x14ac:dyDescent="0.25">
      <c r="C10" s="3" t="s">
        <v>21</v>
      </c>
      <c r="E10" s="3" t="s">
        <v>22</v>
      </c>
      <c r="F10" s="3" t="s">
        <v>23</v>
      </c>
      <c r="G10" s="3" t="s">
        <v>24</v>
      </c>
      <c r="H10" s="3" t="s">
        <v>25</v>
      </c>
      <c r="I10" s="3" t="s">
        <v>26</v>
      </c>
      <c r="J10" s="3" t="s">
        <v>27</v>
      </c>
    </row>
    <row r="11" spans="1:16" ht="14.4" x14ac:dyDescent="0.3">
      <c r="C11" s="11"/>
      <c r="D11" s="12"/>
      <c r="E11" s="135" t="s">
        <v>28</v>
      </c>
      <c r="F11" s="136"/>
      <c r="G11" s="136"/>
      <c r="H11" s="137"/>
      <c r="I11" s="138"/>
      <c r="J11" s="13"/>
      <c r="K11" s="13"/>
      <c r="L11" s="3" t="s">
        <v>29</v>
      </c>
      <c r="M11" s="3" t="s">
        <v>29</v>
      </c>
      <c r="N11" s="3" t="s">
        <v>29</v>
      </c>
    </row>
    <row r="12" spans="1:16" s="14" customFormat="1" ht="106.2" x14ac:dyDescent="0.3">
      <c r="C12" s="15"/>
      <c r="D12" s="16" t="s">
        <v>30</v>
      </c>
      <c r="E12" s="17" t="s">
        <v>31</v>
      </c>
      <c r="F12" s="17" t="s">
        <v>32</v>
      </c>
      <c r="G12" s="18" t="s">
        <v>33</v>
      </c>
      <c r="H12" s="17" t="s">
        <v>34</v>
      </c>
      <c r="I12" s="17" t="s">
        <v>35</v>
      </c>
      <c r="J12" s="19" t="s">
        <v>36</v>
      </c>
      <c r="K12" s="20" t="s">
        <v>37</v>
      </c>
      <c r="L12" s="20" t="s">
        <v>38</v>
      </c>
      <c r="M12" s="21" t="s">
        <v>39</v>
      </c>
      <c r="N12" s="22"/>
      <c r="O12" s="23"/>
      <c r="P12" s="24"/>
    </row>
    <row r="13" spans="1:16" ht="55.2" customHeight="1" x14ac:dyDescent="0.25">
      <c r="A13" s="4" t="s">
        <v>40</v>
      </c>
      <c r="B13" s="25" t="s">
        <v>41</v>
      </c>
      <c r="C13" s="26" t="s">
        <v>42</v>
      </c>
      <c r="D13" s="27" t="s">
        <v>43</v>
      </c>
      <c r="E13" s="25" t="s">
        <v>44</v>
      </c>
      <c r="F13" s="28" t="s">
        <v>45</v>
      </c>
      <c r="G13" s="29" t="s">
        <v>46</v>
      </c>
      <c r="H13" s="25" t="s">
        <v>47</v>
      </c>
      <c r="I13" s="25" t="s">
        <v>48</v>
      </c>
      <c r="J13" s="25" t="s">
        <v>49</v>
      </c>
      <c r="K13" s="30" t="s">
        <v>50</v>
      </c>
      <c r="L13" s="25" t="s">
        <v>51</v>
      </c>
      <c r="M13" s="31" t="s">
        <v>52</v>
      </c>
      <c r="N13" s="25" t="s">
        <v>47</v>
      </c>
      <c r="O13" s="25" t="s">
        <v>48</v>
      </c>
      <c r="P13" s="25" t="s">
        <v>53</v>
      </c>
    </row>
    <row r="14" spans="1:16" x14ac:dyDescent="0.25">
      <c r="A14" s="32" t="s">
        <v>54</v>
      </c>
      <c r="B14" s="33" t="s">
        <v>55</v>
      </c>
      <c r="C14" s="34">
        <f>M117</f>
        <v>0.41715756295892231</v>
      </c>
      <c r="D14" s="10">
        <f>$D$6*C14</f>
        <v>433061859.82396859</v>
      </c>
      <c r="E14" s="35">
        <v>28442.665725131195</v>
      </c>
      <c r="F14" s="36"/>
      <c r="G14" s="36">
        <v>1431.1169319999999</v>
      </c>
      <c r="H14" s="37">
        <v>0</v>
      </c>
      <c r="I14" s="38">
        <v>1.2E-2</v>
      </c>
      <c r="J14" s="39">
        <f>(E14+F14)-G14</f>
        <v>27011.548793131195</v>
      </c>
      <c r="K14" s="40">
        <f>D14/(J14*10^6)</f>
        <v>1.6032470523648482E-2</v>
      </c>
      <c r="L14" s="41"/>
      <c r="M14" s="2"/>
      <c r="P14" s="3"/>
    </row>
    <row r="15" spans="1:16" ht="13.8" thickBot="1" x14ac:dyDescent="0.3">
      <c r="A15" s="32" t="s">
        <v>56</v>
      </c>
      <c r="B15" s="33" t="s">
        <v>57</v>
      </c>
      <c r="C15" s="34">
        <f>M118</f>
        <v>7.7722971549576289E-2</v>
      </c>
      <c r="D15" s="10">
        <f t="shared" ref="D15:D28" si="0">$D$6*C15</f>
        <v>80686190.540477648</v>
      </c>
      <c r="E15" s="35">
        <v>5910.7051936480202</v>
      </c>
      <c r="F15" s="36"/>
      <c r="G15" s="36">
        <v>10.965268999999999</v>
      </c>
      <c r="H15" s="37"/>
      <c r="I15" s="38">
        <v>0</v>
      </c>
      <c r="J15" s="39">
        <f t="shared" ref="J15:J29" si="1">(E15+F15)-G15</f>
        <v>5899.73992464802</v>
      </c>
      <c r="K15" s="40">
        <f>D15/(J15*10^6)</f>
        <v>1.3676228371251705E-2</v>
      </c>
      <c r="L15" s="41"/>
      <c r="M15" s="42">
        <f>5942305/1000</f>
        <v>5942.3050000000003</v>
      </c>
      <c r="N15" s="43">
        <v>29137</v>
      </c>
      <c r="O15" s="44">
        <v>0</v>
      </c>
      <c r="P15" s="3"/>
    </row>
    <row r="16" spans="1:16" ht="16.2" thickBot="1" x14ac:dyDescent="0.4">
      <c r="A16" s="32" t="s">
        <v>58</v>
      </c>
      <c r="B16" s="33" t="s">
        <v>59</v>
      </c>
      <c r="C16" s="34"/>
      <c r="D16" s="34"/>
      <c r="E16" s="36">
        <v>0</v>
      </c>
      <c r="F16" s="36"/>
      <c r="G16" s="36"/>
      <c r="H16" s="36">
        <v>0</v>
      </c>
      <c r="I16" s="36"/>
      <c r="J16" s="39">
        <f t="shared" si="1"/>
        <v>0</v>
      </c>
      <c r="K16" s="41"/>
      <c r="L16" s="45">
        <f>N16</f>
        <v>2.7891794018475089</v>
      </c>
      <c r="M16" s="46">
        <f>K15*M15*10^6</f>
        <v>81268320.231630862</v>
      </c>
      <c r="N16" s="47">
        <f>M16/((N15+O15)*10^3)</f>
        <v>2.7891794018475089</v>
      </c>
      <c r="O16" s="48"/>
      <c r="P16" s="49" t="s">
        <v>60</v>
      </c>
    </row>
    <row r="17" spans="1:16" x14ac:dyDescent="0.25">
      <c r="A17" s="32" t="s">
        <v>61</v>
      </c>
      <c r="B17" s="33" t="s">
        <v>62</v>
      </c>
      <c r="C17" s="34">
        <f t="shared" ref="C17:C28" si="2">M119</f>
        <v>4.8821729011409675E-4</v>
      </c>
      <c r="D17" s="10">
        <f t="shared" si="0"/>
        <v>506830.7671455263</v>
      </c>
      <c r="E17" s="35">
        <v>57.65441525896685</v>
      </c>
      <c r="F17" s="36"/>
      <c r="G17" s="36"/>
      <c r="H17" s="37">
        <v>0</v>
      </c>
      <c r="I17" s="38"/>
      <c r="J17" s="39">
        <f t="shared" si="1"/>
        <v>57.65441525896685</v>
      </c>
      <c r="K17" s="40">
        <f>D17/(J17*10^6)</f>
        <v>8.7908404736912176E-3</v>
      </c>
      <c r="L17" s="41"/>
      <c r="M17" s="2"/>
      <c r="P17" s="3"/>
    </row>
    <row r="18" spans="1:16" x14ac:dyDescent="0.25">
      <c r="A18" s="32" t="s">
        <v>63</v>
      </c>
      <c r="B18" s="33" t="s">
        <v>64</v>
      </c>
      <c r="C18" s="34">
        <f t="shared" si="2"/>
        <v>0.16512300329148344</v>
      </c>
      <c r="D18" s="10">
        <f t="shared" si="0"/>
        <v>171418383.01555756</v>
      </c>
      <c r="E18" s="35">
        <v>13099.623737986469</v>
      </c>
      <c r="F18" s="36"/>
      <c r="G18" s="36">
        <v>60.681649</v>
      </c>
      <c r="H18" s="37">
        <v>44897.048691843833</v>
      </c>
      <c r="I18" s="38">
        <v>36</v>
      </c>
      <c r="J18" s="39">
        <f t="shared" si="1"/>
        <v>13038.942088986469</v>
      </c>
      <c r="K18" s="41"/>
      <c r="L18" s="50">
        <f>D18/((I18+H18)*10^3)</f>
        <v>3.8149733438112587</v>
      </c>
      <c r="M18" s="2"/>
      <c r="O18" s="51"/>
      <c r="P18" s="3"/>
    </row>
    <row r="19" spans="1:16" x14ac:dyDescent="0.25">
      <c r="A19" s="32" t="s">
        <v>65</v>
      </c>
      <c r="B19" s="33" t="s">
        <v>66</v>
      </c>
      <c r="C19" s="34">
        <f t="shared" si="2"/>
        <v>9.1109534503765688E-2</v>
      </c>
      <c r="D19" s="10">
        <f t="shared" si="0"/>
        <v>94583121.49498789</v>
      </c>
      <c r="E19" s="35">
        <v>7839.7227893620366</v>
      </c>
      <c r="F19" s="36"/>
      <c r="G19" s="36">
        <v>67.631294999999994</v>
      </c>
      <c r="H19" s="37">
        <v>22682.823241736238</v>
      </c>
      <c r="I19" s="38">
        <v>70</v>
      </c>
      <c r="J19" s="39">
        <f t="shared" si="1"/>
        <v>7772.0914943620364</v>
      </c>
      <c r="K19" s="41"/>
      <c r="L19" s="50">
        <f t="shared" ref="L19:L27" si="3">D19/((I19+H19)*10^3)</f>
        <v>4.1569839703009261</v>
      </c>
      <c r="M19" s="2"/>
      <c r="O19" s="51"/>
      <c r="P19" s="3"/>
    </row>
    <row r="20" spans="1:16" x14ac:dyDescent="0.25">
      <c r="A20" s="32" t="s">
        <v>67</v>
      </c>
      <c r="B20" s="33" t="s">
        <v>68</v>
      </c>
      <c r="C20" s="34">
        <f t="shared" si="2"/>
        <v>8.786516797636329E-2</v>
      </c>
      <c r="D20" s="10">
        <f t="shared" si="0"/>
        <v>91215062.212203488</v>
      </c>
      <c r="E20" s="35">
        <v>8054.7949481649785</v>
      </c>
      <c r="F20" s="36"/>
      <c r="G20" s="36">
        <v>36.841942000000003</v>
      </c>
      <c r="H20" s="37">
        <v>20531.249905383705</v>
      </c>
      <c r="I20" s="38"/>
      <c r="J20" s="39">
        <f t="shared" si="1"/>
        <v>8017.9530061649784</v>
      </c>
      <c r="K20" s="41"/>
      <c r="L20" s="50">
        <f t="shared" si="3"/>
        <v>4.4427427766238949</v>
      </c>
      <c r="M20" s="2"/>
      <c r="O20" s="51"/>
      <c r="P20" s="3"/>
    </row>
    <row r="21" spans="1:16" x14ac:dyDescent="0.25">
      <c r="A21" s="32" t="s">
        <v>69</v>
      </c>
      <c r="B21" s="33" t="s">
        <v>70</v>
      </c>
      <c r="C21" s="34">
        <f t="shared" si="2"/>
        <v>5.8332062030947623E-2</v>
      </c>
      <c r="D21" s="10">
        <f t="shared" si="0"/>
        <v>60555994.937042005</v>
      </c>
      <c r="E21" s="35">
        <v>5509.0234073804368</v>
      </c>
      <c r="F21" s="36"/>
      <c r="G21" s="36">
        <v>23.47401</v>
      </c>
      <c r="H21" s="37">
        <v>12816.540281423206</v>
      </c>
      <c r="I21" s="38"/>
      <c r="J21" s="39">
        <f t="shared" si="1"/>
        <v>5485.5493973804369</v>
      </c>
      <c r="K21" s="41"/>
      <c r="L21" s="50">
        <f t="shared" si="3"/>
        <v>4.7248316322006358</v>
      </c>
      <c r="M21" s="2"/>
      <c r="O21" s="51"/>
      <c r="P21" s="3"/>
    </row>
    <row r="22" spans="1:16" x14ac:dyDescent="0.25">
      <c r="A22" s="32" t="s">
        <v>71</v>
      </c>
      <c r="B22" s="33" t="s">
        <v>72</v>
      </c>
      <c r="C22" s="34">
        <f t="shared" si="2"/>
        <v>6.3225171793126492E-2</v>
      </c>
      <c r="D22" s="10">
        <f t="shared" si="0"/>
        <v>65635656.441682294</v>
      </c>
      <c r="E22" s="35">
        <v>5868.347711666559</v>
      </c>
      <c r="F22" s="36"/>
      <c r="G22" s="36">
        <v>0.34428500000000001</v>
      </c>
      <c r="H22" s="37">
        <v>11893.803925166892</v>
      </c>
      <c r="I22" s="38"/>
      <c r="J22" s="39">
        <f t="shared" si="1"/>
        <v>5868.0034266665589</v>
      </c>
      <c r="K22" s="41"/>
      <c r="L22" s="50">
        <f t="shared" si="3"/>
        <v>5.5184747331170847</v>
      </c>
      <c r="M22" s="2"/>
      <c r="N22" s="52"/>
      <c r="O22" s="53"/>
      <c r="P22" s="3"/>
    </row>
    <row r="23" spans="1:16" x14ac:dyDescent="0.25">
      <c r="A23" s="32" t="s">
        <v>73</v>
      </c>
      <c r="B23" s="33" t="s">
        <v>74</v>
      </c>
      <c r="C23" s="34">
        <f t="shared" si="2"/>
        <v>9.4129449672762362E-4</v>
      </c>
      <c r="D23" s="10">
        <f t="shared" si="0"/>
        <v>977181.72122669045</v>
      </c>
      <c r="E23" s="37">
        <v>113.334082</v>
      </c>
      <c r="F23" s="37">
        <v>96.768373999999994</v>
      </c>
      <c r="G23" s="36"/>
      <c r="H23" s="37">
        <v>324.75900000000001</v>
      </c>
      <c r="I23" s="38">
        <v>284.89100000000002</v>
      </c>
      <c r="J23" s="39">
        <f t="shared" si="1"/>
        <v>210.10245599999999</v>
      </c>
      <c r="K23" s="41"/>
      <c r="L23" s="50">
        <f t="shared" si="3"/>
        <v>1.6028569199158373</v>
      </c>
      <c r="M23" s="2"/>
      <c r="O23" s="51"/>
      <c r="P23" s="3"/>
    </row>
    <row r="24" spans="1:16" x14ac:dyDescent="0.25">
      <c r="A24" s="32" t="s">
        <v>75</v>
      </c>
      <c r="B24" s="33" t="s">
        <v>76</v>
      </c>
      <c r="C24" s="34">
        <f t="shared" si="2"/>
        <v>2.0312693233991161E-3</v>
      </c>
      <c r="D24" s="10">
        <f t="shared" si="0"/>
        <v>2108712.26870509</v>
      </c>
      <c r="E24" s="37">
        <v>534.32201499999996</v>
      </c>
      <c r="F24" s="37">
        <v>243.32826499999999</v>
      </c>
      <c r="G24" s="36"/>
      <c r="H24" s="37">
        <v>1309.7729999999999</v>
      </c>
      <c r="I24" s="38">
        <v>1372.845</v>
      </c>
      <c r="J24" s="39">
        <f t="shared" si="1"/>
        <v>777.65027999999995</v>
      </c>
      <c r="K24" s="41"/>
      <c r="L24" s="50">
        <f t="shared" si="3"/>
        <v>0.78606505611499289</v>
      </c>
      <c r="M24" s="2"/>
      <c r="O24" s="51"/>
      <c r="P24" s="3"/>
    </row>
    <row r="25" spans="1:16" x14ac:dyDescent="0.25">
      <c r="A25" s="32" t="s">
        <v>77</v>
      </c>
      <c r="B25" s="33" t="s">
        <v>78</v>
      </c>
      <c r="C25" s="34">
        <f t="shared" si="2"/>
        <v>4.1530365638655139E-3</v>
      </c>
      <c r="D25" s="10">
        <f t="shared" si="0"/>
        <v>4311372.7233123295</v>
      </c>
      <c r="E25" s="37">
        <v>1671.8327079999999</v>
      </c>
      <c r="F25" s="37">
        <v>559.65611000000001</v>
      </c>
      <c r="G25" s="36"/>
      <c r="H25" s="37">
        <v>3308.7579999999998</v>
      </c>
      <c r="I25" s="38">
        <v>8393.759</v>
      </c>
      <c r="J25" s="39">
        <f t="shared" si="1"/>
        <v>2231.4888179999998</v>
      </c>
      <c r="K25" s="41"/>
      <c r="L25" s="50">
        <f t="shared" si="3"/>
        <v>0.36841413888245833</v>
      </c>
      <c r="M25" s="2"/>
      <c r="N25" s="52"/>
      <c r="O25" s="53"/>
      <c r="P25" s="3"/>
    </row>
    <row r="26" spans="1:16" x14ac:dyDescent="0.25">
      <c r="A26" s="32" t="s">
        <v>79</v>
      </c>
      <c r="B26" s="33" t="s">
        <v>80</v>
      </c>
      <c r="C26" s="34">
        <f t="shared" si="2"/>
        <v>1.5693804876949012E-2</v>
      </c>
      <c r="D26" s="10">
        <f t="shared" si="0"/>
        <v>16292137.38693562</v>
      </c>
      <c r="E26" s="35">
        <v>1816.152596448351</v>
      </c>
      <c r="F26" s="36"/>
      <c r="G26" s="36">
        <v>6.0771559999999996</v>
      </c>
      <c r="H26" s="35">
        <v>8121.2567213684442</v>
      </c>
      <c r="I26" s="35">
        <v>0.51600000000000001</v>
      </c>
      <c r="J26" s="39">
        <f t="shared" si="1"/>
        <v>1810.0754404483509</v>
      </c>
      <c r="K26" s="41"/>
      <c r="L26" s="50">
        <f t="shared" si="3"/>
        <v>2.0059829234165694</v>
      </c>
      <c r="M26" s="2"/>
      <c r="N26" s="54"/>
      <c r="O26" s="54"/>
      <c r="P26" s="3"/>
    </row>
    <row r="27" spans="1:16" x14ac:dyDescent="0.25">
      <c r="A27" s="32" t="s">
        <v>81</v>
      </c>
      <c r="B27" s="33" t="s">
        <v>82</v>
      </c>
      <c r="C27" s="34">
        <f t="shared" si="2"/>
        <v>1.1853497445840093E-2</v>
      </c>
      <c r="D27" s="10">
        <f t="shared" si="0"/>
        <v>12305416.718094237</v>
      </c>
      <c r="E27" s="35">
        <v>1453.6399206185063</v>
      </c>
      <c r="F27" s="36"/>
      <c r="G27" s="36">
        <v>16.064630000000001</v>
      </c>
      <c r="H27" s="35">
        <v>4933.4076605278942</v>
      </c>
      <c r="I27" s="35">
        <v>8.2040000000000006</v>
      </c>
      <c r="J27" s="39">
        <f t="shared" si="1"/>
        <v>1437.5752906185062</v>
      </c>
      <c r="K27" s="41"/>
      <c r="L27" s="50">
        <f t="shared" si="3"/>
        <v>2.4901626358837947</v>
      </c>
      <c r="M27" s="51"/>
      <c r="O27" s="7"/>
      <c r="P27" s="3"/>
    </row>
    <row r="28" spans="1:16" x14ac:dyDescent="0.25">
      <c r="A28" s="32" t="s">
        <v>83</v>
      </c>
      <c r="B28" s="33" t="s">
        <v>84</v>
      </c>
      <c r="C28" s="34">
        <f t="shared" si="2"/>
        <v>4.3034058989195444E-3</v>
      </c>
      <c r="D28" s="10">
        <f t="shared" si="0"/>
        <v>4467474.9486611821</v>
      </c>
      <c r="E28" s="35">
        <v>698.31266766750207</v>
      </c>
      <c r="F28" s="36"/>
      <c r="G28" s="36"/>
      <c r="H28" s="37">
        <v>0</v>
      </c>
      <c r="I28" s="38"/>
      <c r="J28" s="39">
        <f t="shared" si="1"/>
        <v>698.31266766750207</v>
      </c>
      <c r="K28" s="40">
        <f>D28/(J28*10^6)</f>
        <v>6.39752814965165E-3</v>
      </c>
      <c r="L28" s="41"/>
      <c r="M28" s="2"/>
      <c r="O28" s="7"/>
      <c r="P28" s="3"/>
    </row>
    <row r="29" spans="1:16" x14ac:dyDescent="0.25">
      <c r="A29" s="32" t="s">
        <v>85</v>
      </c>
      <c r="B29" s="55" t="s">
        <v>86</v>
      </c>
      <c r="C29" s="34"/>
      <c r="D29" s="10"/>
      <c r="E29" s="56"/>
      <c r="F29" s="57"/>
      <c r="G29" s="57"/>
      <c r="H29" s="58"/>
      <c r="I29" s="59"/>
      <c r="J29" s="39">
        <f t="shared" si="1"/>
        <v>0</v>
      </c>
      <c r="K29" s="40"/>
      <c r="L29" s="41"/>
      <c r="M29" s="2"/>
      <c r="O29" s="7"/>
      <c r="P29" s="3"/>
    </row>
    <row r="30" spans="1:16" x14ac:dyDescent="0.25">
      <c r="A30" s="32">
        <v>2</v>
      </c>
      <c r="B30" s="60" t="s">
        <v>87</v>
      </c>
      <c r="C30" s="61">
        <f t="shared" ref="C30:E30" si="4">SUM(C14:C29)</f>
        <v>1.0000000000000002</v>
      </c>
      <c r="D30" s="62">
        <f t="shared" si="4"/>
        <v>1038125395.0000002</v>
      </c>
      <c r="E30" s="63">
        <f t="shared" si="4"/>
        <v>81070.131918333005</v>
      </c>
      <c r="F30" s="63">
        <f>SUM(F14:F29)</f>
        <v>899.75274899999999</v>
      </c>
      <c r="G30" s="63">
        <f>SUM(G14:G29)</f>
        <v>1653.1971679999999</v>
      </c>
      <c r="H30" s="63">
        <f>SUM(H14:H29)</f>
        <v>130819.42042745023</v>
      </c>
      <c r="I30" s="63">
        <f>SUM(I14:I29)</f>
        <v>10166.226999999999</v>
      </c>
      <c r="J30" s="63">
        <f>SUM(J14:J29)</f>
        <v>80316.687499333013</v>
      </c>
      <c r="K30" s="3"/>
      <c r="M30" s="2"/>
      <c r="P30" s="3"/>
    </row>
    <row r="31" spans="1:16" x14ac:dyDescent="0.25">
      <c r="A31" s="32">
        <f>A30+1</f>
        <v>3</v>
      </c>
      <c r="J31" s="39"/>
      <c r="K31" s="39"/>
    </row>
    <row r="32" spans="1:16" x14ac:dyDescent="0.25">
      <c r="A32" s="32">
        <f t="shared" ref="A32:A36" si="5">A31+1</f>
        <v>4</v>
      </c>
      <c r="G32" s="64"/>
      <c r="I32" s="11"/>
      <c r="J32" s="65"/>
      <c r="K32" s="65"/>
      <c r="L32" s="65"/>
    </row>
    <row r="33" spans="1:15" ht="15.6" x14ac:dyDescent="0.3">
      <c r="A33" s="32">
        <f t="shared" si="5"/>
        <v>5</v>
      </c>
      <c r="B33" s="1" t="s">
        <v>88</v>
      </c>
    </row>
    <row r="34" spans="1:15" x14ac:dyDescent="0.25">
      <c r="A34" s="32">
        <f t="shared" si="5"/>
        <v>6</v>
      </c>
      <c r="C34" s="11" t="s">
        <v>7</v>
      </c>
      <c r="D34" s="11" t="s">
        <v>8</v>
      </c>
      <c r="E34" s="11" t="s">
        <v>9</v>
      </c>
      <c r="F34" s="11" t="s">
        <v>10</v>
      </c>
      <c r="G34" s="11" t="s">
        <v>11</v>
      </c>
      <c r="H34" s="11" t="s">
        <v>12</v>
      </c>
      <c r="I34" s="11" t="s">
        <v>13</v>
      </c>
      <c r="J34" s="11" t="s">
        <v>14</v>
      </c>
    </row>
    <row r="35" spans="1:15" s="14" customFormat="1" ht="26.4" x14ac:dyDescent="0.25">
      <c r="A35" s="32">
        <f t="shared" si="5"/>
        <v>7</v>
      </c>
      <c r="C35" s="24" t="s">
        <v>89</v>
      </c>
      <c r="D35" s="66" t="s">
        <v>90</v>
      </c>
      <c r="E35" s="66" t="s">
        <v>91</v>
      </c>
      <c r="F35" s="67"/>
      <c r="H35" s="18" t="s">
        <v>89</v>
      </c>
      <c r="I35" s="18" t="s">
        <v>92</v>
      </c>
      <c r="J35" s="12" t="s">
        <v>93</v>
      </c>
      <c r="K35" s="68"/>
      <c r="L35" s="68"/>
      <c r="M35" s="68"/>
    </row>
    <row r="36" spans="1:15" x14ac:dyDescent="0.25">
      <c r="A36" s="32">
        <f t="shared" si="5"/>
        <v>8</v>
      </c>
      <c r="C36" s="11"/>
      <c r="D36" s="11"/>
      <c r="E36" s="11"/>
      <c r="F36" s="69"/>
      <c r="K36" s="69"/>
      <c r="L36" s="69"/>
      <c r="M36" s="69"/>
    </row>
    <row r="37" spans="1:15" s="75" customFormat="1" ht="52.8" x14ac:dyDescent="0.25">
      <c r="A37" s="32">
        <v>9</v>
      </c>
      <c r="B37" s="70" t="s">
        <v>41</v>
      </c>
      <c r="C37" s="25" t="s">
        <v>94</v>
      </c>
      <c r="D37" s="71" t="s">
        <v>95</v>
      </c>
      <c r="E37" s="71" t="s">
        <v>96</v>
      </c>
      <c r="F37" s="72"/>
      <c r="G37" s="73" t="s">
        <v>41</v>
      </c>
      <c r="H37" s="71" t="s">
        <v>97</v>
      </c>
      <c r="I37" s="71" t="s">
        <v>98</v>
      </c>
      <c r="J37" s="71" t="s">
        <v>99</v>
      </c>
      <c r="K37" s="72"/>
      <c r="L37" s="74"/>
      <c r="M37" s="74"/>
    </row>
    <row r="38" spans="1:15" s="81" customFormat="1" ht="14.4" x14ac:dyDescent="0.3">
      <c r="A38" s="76" t="s">
        <v>100</v>
      </c>
      <c r="B38" s="77" t="s">
        <v>74</v>
      </c>
      <c r="C38" s="10">
        <f>D23</f>
        <v>977181.72122669045</v>
      </c>
      <c r="D38" s="78">
        <f>I23</f>
        <v>284.89100000000002</v>
      </c>
      <c r="E38" s="79">
        <f>C38/D38/10^3</f>
        <v>3.4300196258452895</v>
      </c>
      <c r="F38" s="80"/>
      <c r="G38" s="77" t="s">
        <v>68</v>
      </c>
      <c r="H38" s="10">
        <f>D20</f>
        <v>91215062.212203488</v>
      </c>
      <c r="I38" s="39">
        <f>H20+H23</f>
        <v>20856.008905383707</v>
      </c>
      <c r="J38" s="81">
        <f>H38/(I38*10^3)</f>
        <v>4.3735626804732286</v>
      </c>
      <c r="K38" s="82"/>
      <c r="L38" s="83"/>
      <c r="M38" s="80"/>
    </row>
    <row r="39" spans="1:15" s="81" customFormat="1" ht="14.4" x14ac:dyDescent="0.3">
      <c r="A39" s="76" t="s">
        <v>101</v>
      </c>
      <c r="B39" s="77" t="s">
        <v>76</v>
      </c>
      <c r="C39" s="10">
        <f>D24</f>
        <v>2108712.26870509</v>
      </c>
      <c r="D39" s="78">
        <f>I24</f>
        <v>1372.845</v>
      </c>
      <c r="E39" s="79">
        <f t="shared" ref="E39:E40" si="6">C39/D39/10^3</f>
        <v>1.5360162791175187</v>
      </c>
      <c r="F39" s="80"/>
      <c r="G39" s="77" t="s">
        <v>70</v>
      </c>
      <c r="H39" s="10">
        <f t="shared" ref="H39:H40" si="7">D21</f>
        <v>60555994.937042005</v>
      </c>
      <c r="I39" s="39">
        <f t="shared" ref="I39:I40" si="8">H21+H24</f>
        <v>14126.313281423205</v>
      </c>
      <c r="J39" s="81">
        <f t="shared" ref="J39:J40" si="9">H39/(I39*10^3)</f>
        <v>4.2867515204180062</v>
      </c>
      <c r="K39" s="82"/>
      <c r="L39" s="83"/>
      <c r="M39" s="80"/>
    </row>
    <row r="40" spans="1:15" s="81" customFormat="1" ht="14.4" x14ac:dyDescent="0.3">
      <c r="A40" s="76" t="s">
        <v>102</v>
      </c>
      <c r="B40" s="77" t="s">
        <v>78</v>
      </c>
      <c r="C40" s="10">
        <f>D25</f>
        <v>4311372.7233123295</v>
      </c>
      <c r="D40" s="78">
        <f>I25</f>
        <v>8393.759</v>
      </c>
      <c r="E40" s="79">
        <f t="shared" si="6"/>
        <v>0.51364028003571804</v>
      </c>
      <c r="F40" s="80"/>
      <c r="G40" s="77" t="s">
        <v>72</v>
      </c>
      <c r="H40" s="10">
        <f t="shared" si="7"/>
        <v>65635656.441682294</v>
      </c>
      <c r="I40" s="39">
        <f t="shared" si="8"/>
        <v>15202.561925166892</v>
      </c>
      <c r="J40" s="81">
        <f t="shared" si="9"/>
        <v>4.3174076030584398</v>
      </c>
      <c r="K40" s="82"/>
      <c r="L40" s="83"/>
      <c r="M40" s="80"/>
    </row>
    <row r="41" spans="1:15" x14ac:dyDescent="0.25">
      <c r="A41" s="76" t="s">
        <v>103</v>
      </c>
      <c r="B41" s="55" t="s">
        <v>86</v>
      </c>
      <c r="C41" s="11"/>
      <c r="D41" s="11"/>
      <c r="E41" s="11"/>
      <c r="F41" s="11"/>
      <c r="G41" s="55" t="s">
        <v>86</v>
      </c>
      <c r="H41" s="11"/>
      <c r="I41" s="11"/>
    </row>
    <row r="42" spans="1:15" x14ac:dyDescent="0.25">
      <c r="A42" s="32">
        <v>10</v>
      </c>
      <c r="C42" s="11"/>
      <c r="D42" s="11"/>
      <c r="E42" s="11"/>
      <c r="F42" s="11"/>
      <c r="G42" s="11"/>
      <c r="H42" s="11"/>
      <c r="I42" s="11"/>
    </row>
    <row r="43" spans="1:15" ht="15.6" x14ac:dyDescent="0.3">
      <c r="A43" s="32">
        <v>11</v>
      </c>
      <c r="B43" s="84" t="s">
        <v>104</v>
      </c>
    </row>
    <row r="44" spans="1:15" x14ac:dyDescent="0.25">
      <c r="A44" s="32">
        <v>12</v>
      </c>
      <c r="C44" s="11" t="s">
        <v>7</v>
      </c>
      <c r="D44" s="11" t="s">
        <v>8</v>
      </c>
      <c r="E44" s="11" t="s">
        <v>9</v>
      </c>
      <c r="F44" s="11" t="s">
        <v>10</v>
      </c>
      <c r="G44" s="11" t="s">
        <v>11</v>
      </c>
      <c r="H44" s="11" t="s">
        <v>12</v>
      </c>
      <c r="I44" s="11" t="s">
        <v>13</v>
      </c>
      <c r="J44" s="11" t="s">
        <v>14</v>
      </c>
      <c r="K44" s="11" t="s">
        <v>15</v>
      </c>
      <c r="L44" s="11" t="s">
        <v>16</v>
      </c>
      <c r="M44" s="85" t="s">
        <v>17</v>
      </c>
      <c r="N44" s="124"/>
      <c r="O44" s="124"/>
    </row>
    <row r="45" spans="1:15" s="14" customFormat="1" ht="39.6" x14ac:dyDescent="0.3">
      <c r="A45" s="86">
        <v>13</v>
      </c>
      <c r="C45" s="66" t="s">
        <v>105</v>
      </c>
      <c r="D45" s="66" t="s">
        <v>106</v>
      </c>
      <c r="E45" s="66" t="s">
        <v>107</v>
      </c>
      <c r="G45" s="66" t="s">
        <v>108</v>
      </c>
      <c r="H45" s="66" t="s">
        <v>109</v>
      </c>
      <c r="I45" s="66" t="s">
        <v>110</v>
      </c>
      <c r="J45" s="66" t="s">
        <v>111</v>
      </c>
      <c r="K45" s="66" t="s">
        <v>112</v>
      </c>
      <c r="L45" s="15"/>
      <c r="M45" s="121" t="s">
        <v>108</v>
      </c>
      <c r="N45" s="125"/>
      <c r="O45" s="126"/>
    </row>
    <row r="46" spans="1:15" x14ac:dyDescent="0.25">
      <c r="A46" s="32">
        <v>14</v>
      </c>
      <c r="C46" s="3"/>
      <c r="D46" s="41" t="s">
        <v>113</v>
      </c>
      <c r="E46" s="87"/>
      <c r="G46" s="3"/>
      <c r="H46" s="3" t="s">
        <v>114</v>
      </c>
      <c r="I46" s="3" t="s">
        <v>115</v>
      </c>
      <c r="J46" s="3"/>
      <c r="K46" s="3"/>
      <c r="L46" s="3"/>
      <c r="M46" s="13"/>
      <c r="N46" s="127"/>
      <c r="O46" s="128"/>
    </row>
    <row r="47" spans="1:15" ht="66" x14ac:dyDescent="0.25">
      <c r="A47" s="32">
        <v>15</v>
      </c>
      <c r="B47" s="31" t="str">
        <f>B13</f>
        <v>CPUC Rate Group</v>
      </c>
      <c r="C47" s="25" t="s">
        <v>116</v>
      </c>
      <c r="D47" s="25" t="s">
        <v>117</v>
      </c>
      <c r="E47" s="25" t="s">
        <v>118</v>
      </c>
      <c r="G47" s="25" t="s">
        <v>119</v>
      </c>
      <c r="H47" s="25" t="s">
        <v>120</v>
      </c>
      <c r="I47" s="71" t="s">
        <v>121</v>
      </c>
      <c r="J47" s="25" t="s">
        <v>122</v>
      </c>
      <c r="K47" s="71" t="s">
        <v>123</v>
      </c>
      <c r="L47" s="88" t="s">
        <v>53</v>
      </c>
      <c r="M47" s="123" t="s">
        <v>124</v>
      </c>
      <c r="N47" s="129"/>
      <c r="O47" s="129"/>
    </row>
    <row r="48" spans="1:15" ht="13.8" thickBot="1" x14ac:dyDescent="0.3">
      <c r="A48" s="32" t="s">
        <v>125</v>
      </c>
      <c r="B48" s="33" t="str">
        <f>B14</f>
        <v>Domestic</v>
      </c>
      <c r="C48" s="10">
        <f>D48+E48</f>
        <v>433061859.82396859</v>
      </c>
      <c r="D48" s="10">
        <f>D14-E48</f>
        <v>433061859.82396859</v>
      </c>
      <c r="E48" s="89"/>
      <c r="G48" s="89">
        <f>D48/(J14*10^6)</f>
        <v>1.6032470523648482E-2</v>
      </c>
      <c r="H48" s="89"/>
      <c r="I48" s="90"/>
      <c r="J48" s="91"/>
      <c r="K48" s="89"/>
      <c r="L48" s="89"/>
      <c r="M48" s="13"/>
      <c r="N48" s="128"/>
      <c r="O48" s="128"/>
    </row>
    <row r="49" spans="1:16" ht="13.8" thickBot="1" x14ac:dyDescent="0.3">
      <c r="A49" s="32" t="s">
        <v>126</v>
      </c>
      <c r="B49" s="33" t="str">
        <f>B15</f>
        <v>GS-1</v>
      </c>
      <c r="C49" s="10">
        <f t="shared" ref="C49:C61" si="10">D49+E49</f>
        <v>80686190.540477648</v>
      </c>
      <c r="D49" s="10">
        <f t="shared" ref="D49" si="11">D15-E49</f>
        <v>80686190.540477648</v>
      </c>
      <c r="E49" s="10">
        <f>I49*I15*10^3</f>
        <v>0</v>
      </c>
      <c r="G49" s="89">
        <f>D49/(J15*10^6)</f>
        <v>1.3676228371251705E-2</v>
      </c>
      <c r="H49" s="92">
        <f>(M16-E49)/N15/10^3</f>
        <v>2.7891794018475089</v>
      </c>
      <c r="I49" s="47">
        <f>MIN($I$56,L16)</f>
        <v>2.7891794018475089</v>
      </c>
      <c r="J49" s="47"/>
      <c r="K49" s="47"/>
      <c r="L49" s="49" t="s">
        <v>127</v>
      </c>
      <c r="M49" s="122">
        <f>$D49/(J15*10^6)</f>
        <v>1.3676228371251705E-2</v>
      </c>
      <c r="N49" s="130"/>
      <c r="O49" s="131"/>
    </row>
    <row r="50" spans="1:16" ht="13.8" thickBot="1" x14ac:dyDescent="0.3">
      <c r="A50" s="32" t="s">
        <v>128</v>
      </c>
      <c r="B50" s="33" t="str">
        <f t="shared" ref="B50:B61" si="12">B17</f>
        <v>TC-1</v>
      </c>
      <c r="C50" s="10">
        <f t="shared" si="10"/>
        <v>506830.7671455263</v>
      </c>
      <c r="D50" s="10">
        <f>D17-E50</f>
        <v>506830.7671455263</v>
      </c>
      <c r="E50" s="89"/>
      <c r="G50" s="89">
        <f>D50/(J17*10^6)</f>
        <v>8.7908404736912176E-3</v>
      </c>
      <c r="H50" s="89"/>
      <c r="I50" s="90"/>
      <c r="J50" s="91"/>
      <c r="K50" s="89"/>
      <c r="L50" s="89"/>
      <c r="M50" s="122"/>
      <c r="N50" s="128"/>
      <c r="O50" s="128"/>
    </row>
    <row r="51" spans="1:16" x14ac:dyDescent="0.25">
      <c r="A51" s="32" t="s">
        <v>129</v>
      </c>
      <c r="B51" s="33" t="str">
        <f t="shared" si="12"/>
        <v>GS-2</v>
      </c>
      <c r="C51" s="10">
        <f t="shared" si="10"/>
        <v>171418383.01555756</v>
      </c>
      <c r="D51" s="10">
        <f t="shared" ref="D51:D52" si="13">D18-E51</f>
        <v>171294902.30902714</v>
      </c>
      <c r="E51" s="10">
        <f>I51*I18*10^3</f>
        <v>123480.70653043043</v>
      </c>
      <c r="G51" s="10"/>
      <c r="H51" s="95">
        <f t="shared" ref="H51:H60" si="14">D51/H18/10^3</f>
        <v>3.8152820129610259</v>
      </c>
      <c r="I51" s="50">
        <f>MIN($I$56,L18)</f>
        <v>3.4300196258452895</v>
      </c>
      <c r="J51" s="91"/>
      <c r="K51" s="89"/>
      <c r="L51" s="140" t="s">
        <v>130</v>
      </c>
      <c r="M51" s="132">
        <f>($D51+D52)/((J18+J19)*10^6)</f>
        <v>1.276428301200524E-2</v>
      </c>
      <c r="N51" s="130"/>
      <c r="O51" s="131"/>
    </row>
    <row r="52" spans="1:16" ht="13.8" thickBot="1" x14ac:dyDescent="0.3">
      <c r="A52" s="32" t="s">
        <v>131</v>
      </c>
      <c r="B52" s="33" t="str">
        <f t="shared" si="12"/>
        <v>TOU-GS-3</v>
      </c>
      <c r="C52" s="10">
        <f t="shared" si="10"/>
        <v>94583121.49498789</v>
      </c>
      <c r="D52" s="10">
        <f t="shared" si="13"/>
        <v>94343020.121178716</v>
      </c>
      <c r="E52" s="10">
        <f>I52*I19*10^3</f>
        <v>240101.37380917027</v>
      </c>
      <c r="G52" s="10"/>
      <c r="H52" s="95">
        <f t="shared" si="14"/>
        <v>4.1592274081468048</v>
      </c>
      <c r="I52" s="50">
        <f>MIN($I$56,L19)</f>
        <v>3.4300196258452895</v>
      </c>
      <c r="J52" s="91"/>
      <c r="K52" s="89"/>
      <c r="L52" s="141"/>
      <c r="M52" s="133">
        <f>M51</f>
        <v>1.276428301200524E-2</v>
      </c>
      <c r="N52" s="130"/>
      <c r="O52" s="131"/>
    </row>
    <row r="53" spans="1:16" x14ac:dyDescent="0.25">
      <c r="A53" s="32" t="s">
        <v>132</v>
      </c>
      <c r="B53" s="33" t="str">
        <f t="shared" si="12"/>
        <v>TOU-8-SEC</v>
      </c>
      <c r="C53" s="10">
        <f t="shared" si="10"/>
        <v>89794708.369655684</v>
      </c>
      <c r="D53" s="10">
        <f>J38*H20*1000</f>
        <v>89794708.369655684</v>
      </c>
      <c r="E53" s="89"/>
      <c r="G53" s="10"/>
      <c r="H53" s="95">
        <f t="shared" si="14"/>
        <v>4.3735626804732295</v>
      </c>
      <c r="I53" s="90"/>
      <c r="J53" s="91"/>
      <c r="K53" s="89"/>
      <c r="L53" s="89"/>
      <c r="M53" s="122">
        <f>$D53/(J20*10^6)</f>
        <v>1.1199206119144479E-2</v>
      </c>
      <c r="N53" s="130"/>
      <c r="O53" s="131"/>
    </row>
    <row r="54" spans="1:16" x14ac:dyDescent="0.25">
      <c r="A54" s="32" t="s">
        <v>133</v>
      </c>
      <c r="B54" s="33" t="str">
        <f t="shared" si="12"/>
        <v>TOU-8-PRI</v>
      </c>
      <c r="C54" s="10">
        <f t="shared" si="10"/>
        <v>54941323.537889548</v>
      </c>
      <c r="D54" s="10">
        <f t="shared" ref="D54:D55" si="15">J39*H21*1000</f>
        <v>54941323.537889548</v>
      </c>
      <c r="E54" s="89"/>
      <c r="G54" s="10"/>
      <c r="H54" s="95">
        <f t="shared" si="14"/>
        <v>4.2867515204180062</v>
      </c>
      <c r="I54" s="90"/>
      <c r="J54" s="91"/>
      <c r="K54" s="89"/>
      <c r="L54" s="89"/>
      <c r="M54" s="122">
        <f>$D54/(J21*10^6)</f>
        <v>1.0015646484584783E-2</v>
      </c>
      <c r="N54" s="130"/>
      <c r="O54" s="131"/>
    </row>
    <row r="55" spans="1:16" x14ac:dyDescent="0.25">
      <c r="A55" s="32" t="s">
        <v>134</v>
      </c>
      <c r="B55" s="33" t="str">
        <f t="shared" si="12"/>
        <v>TOU-8-SUB</v>
      </c>
      <c r="C55" s="10">
        <f t="shared" si="10"/>
        <v>51350399.495801859</v>
      </c>
      <c r="D55" s="10">
        <f t="shared" si="15"/>
        <v>51350399.495801859</v>
      </c>
      <c r="E55" s="89"/>
      <c r="G55" s="10"/>
      <c r="H55" s="95">
        <f t="shared" si="14"/>
        <v>4.3174076030584398</v>
      </c>
      <c r="I55" s="90"/>
      <c r="J55" s="91"/>
      <c r="K55" s="40"/>
      <c r="L55" s="40"/>
      <c r="M55" s="122">
        <f>$D55/(J22*10^6)</f>
        <v>8.750915049307072E-3</v>
      </c>
      <c r="N55" s="130"/>
      <c r="O55" s="131"/>
    </row>
    <row r="56" spans="1:16" x14ac:dyDescent="0.25">
      <c r="A56" s="32" t="s">
        <v>135</v>
      </c>
      <c r="B56" s="33" t="str">
        <f t="shared" si="12"/>
        <v>TOU-8-Standby-SEC</v>
      </c>
      <c r="C56" s="10">
        <f t="shared" si="10"/>
        <v>2397535.5637744959</v>
      </c>
      <c r="D56" s="10">
        <f>J38*H23*1000</f>
        <v>1420353.8425478053</v>
      </c>
      <c r="E56" s="10">
        <f>I56*I23*10^3</f>
        <v>977181.72122669045</v>
      </c>
      <c r="G56" s="10"/>
      <c r="H56" s="95">
        <f>J38</f>
        <v>4.3735626804732286</v>
      </c>
      <c r="I56" s="50">
        <f>E38</f>
        <v>3.4300196258452895</v>
      </c>
      <c r="J56" s="91"/>
      <c r="K56" s="40"/>
      <c r="L56" s="40"/>
      <c r="M56" s="93"/>
      <c r="N56" s="94"/>
      <c r="O56" s="96"/>
      <c r="P56" s="2" t="str">
        <f>IF(P17&gt;0,P37/P17-1,"")</f>
        <v/>
      </c>
    </row>
    <row r="57" spans="1:16" x14ac:dyDescent="0.25">
      <c r="A57" s="32" t="s">
        <v>136</v>
      </c>
      <c r="B57" s="33" t="str">
        <f t="shared" si="12"/>
        <v>TOU-8-Standby-PRI</v>
      </c>
      <c r="C57" s="10">
        <f t="shared" si="10"/>
        <v>7723383.6678575426</v>
      </c>
      <c r="D57" s="10">
        <f t="shared" ref="D57:D58" si="16">J39*H24*1000</f>
        <v>5614671.3991524531</v>
      </c>
      <c r="E57" s="10">
        <f>I57*I24*10^3</f>
        <v>2108712.26870509</v>
      </c>
      <c r="G57" s="10"/>
      <c r="H57" s="95">
        <f>J39</f>
        <v>4.2867515204180062</v>
      </c>
      <c r="I57" s="50">
        <f>E39</f>
        <v>1.5360162791175187</v>
      </c>
      <c r="J57" s="91"/>
      <c r="K57" s="40"/>
      <c r="L57" s="40"/>
      <c r="M57" s="93"/>
      <c r="N57" s="94"/>
      <c r="O57" s="96"/>
    </row>
    <row r="58" spans="1:16" ht="13.8" thickBot="1" x14ac:dyDescent="0.3">
      <c r="A58" s="32" t="s">
        <v>137</v>
      </c>
      <c r="B58" s="33" t="str">
        <f t="shared" si="12"/>
        <v>TOU-8-Standby-SUB</v>
      </c>
      <c r="C58" s="10">
        <f t="shared" si="10"/>
        <v>18596629.669192769</v>
      </c>
      <c r="D58" s="10">
        <f t="shared" si="16"/>
        <v>14285256.945880437</v>
      </c>
      <c r="E58" s="10">
        <f>I58*I25*10^3</f>
        <v>4311372.7233123295</v>
      </c>
      <c r="G58" s="10"/>
      <c r="H58" s="95">
        <f>J40</f>
        <v>4.3174076030584398</v>
      </c>
      <c r="I58" s="50">
        <f>E40</f>
        <v>0.51364028003571804</v>
      </c>
      <c r="J58" s="91"/>
      <c r="K58" s="40"/>
      <c r="L58" s="40"/>
      <c r="M58" s="93"/>
      <c r="N58" s="94"/>
      <c r="O58" s="96"/>
    </row>
    <row r="59" spans="1:16" ht="13.8" thickBot="1" x14ac:dyDescent="0.3">
      <c r="A59" s="32" t="s">
        <v>138</v>
      </c>
      <c r="B59" s="33" t="str">
        <f t="shared" si="12"/>
        <v>TOU-PA-2</v>
      </c>
      <c r="C59" s="10">
        <f t="shared" si="10"/>
        <v>16292137.38693562</v>
      </c>
      <c r="D59" s="10">
        <f t="shared" ref="D59:D61" si="17">D26-E59</f>
        <v>16291102.299747137</v>
      </c>
      <c r="E59" s="10">
        <f>I59*I26*10^3</f>
        <v>1035.0871884829498</v>
      </c>
      <c r="G59" s="10"/>
      <c r="H59" s="95">
        <f t="shared" si="14"/>
        <v>2.0059829234165698</v>
      </c>
      <c r="I59" s="50">
        <f>MIN($I$56,L26)</f>
        <v>2.0059829234165694</v>
      </c>
      <c r="J59" s="45">
        <f>H59*0.746</f>
        <v>1.4964632608687611</v>
      </c>
      <c r="K59" s="47">
        <f>I59*0.746</f>
        <v>1.4964632608687607</v>
      </c>
      <c r="L59" s="49" t="s">
        <v>139</v>
      </c>
      <c r="M59" s="93"/>
      <c r="N59" s="94"/>
      <c r="O59" s="96"/>
    </row>
    <row r="60" spans="1:16" x14ac:dyDescent="0.25">
      <c r="A60" s="32" t="s">
        <v>140</v>
      </c>
      <c r="B60" s="33" t="str">
        <f t="shared" si="12"/>
        <v>TOU-PA-3</v>
      </c>
      <c r="C60" s="10">
        <f t="shared" si="10"/>
        <v>12305416.718094237</v>
      </c>
      <c r="D60" s="10">
        <f t="shared" si="17"/>
        <v>12284987.423829446</v>
      </c>
      <c r="E60" s="10">
        <f>I60*I27*10^3</f>
        <v>20429.294264790653</v>
      </c>
      <c r="G60" s="10"/>
      <c r="H60" s="95">
        <f t="shared" si="14"/>
        <v>2.4901626358837947</v>
      </c>
      <c r="I60" s="50">
        <f>MIN($I$56,L27)</f>
        <v>2.4901626358837947</v>
      </c>
      <c r="J60" s="91"/>
      <c r="K60" s="89"/>
      <c r="L60" s="89"/>
      <c r="M60" s="93"/>
      <c r="N60" s="94"/>
      <c r="O60" s="96"/>
    </row>
    <row r="61" spans="1:16" x14ac:dyDescent="0.25">
      <c r="A61" s="32" t="s">
        <v>141</v>
      </c>
      <c r="B61" s="33" t="str">
        <f t="shared" si="12"/>
        <v>Street Lighting</v>
      </c>
      <c r="C61" s="10">
        <f t="shared" si="10"/>
        <v>4467474.9486611821</v>
      </c>
      <c r="D61" s="10">
        <f t="shared" si="17"/>
        <v>4467474.9486611821</v>
      </c>
      <c r="E61" s="89"/>
      <c r="G61" s="89">
        <f>D61/(J28*10^6)</f>
        <v>6.39752814965165E-3</v>
      </c>
      <c r="H61" s="89"/>
      <c r="I61" s="90"/>
      <c r="J61" s="91"/>
      <c r="K61" s="89"/>
      <c r="L61" s="89"/>
    </row>
    <row r="62" spans="1:16" x14ac:dyDescent="0.25">
      <c r="A62" s="32" t="s">
        <v>142</v>
      </c>
      <c r="B62" s="55" t="s">
        <v>86</v>
      </c>
      <c r="C62" s="10"/>
      <c r="D62" s="10"/>
      <c r="E62" s="89"/>
      <c r="G62" s="89"/>
      <c r="H62" s="89"/>
      <c r="I62" s="90"/>
      <c r="J62" s="91"/>
      <c r="K62" s="89"/>
      <c r="L62" s="89"/>
    </row>
    <row r="63" spans="1:16" x14ac:dyDescent="0.25">
      <c r="A63" s="32">
        <v>17</v>
      </c>
      <c r="B63" s="97" t="s">
        <v>87</v>
      </c>
      <c r="C63" s="62">
        <f>SUM(C48:C62)</f>
        <v>1038125395.0000001</v>
      </c>
      <c r="D63" s="62">
        <f>SUM(D48:D62)</f>
        <v>1030343081.8249631</v>
      </c>
      <c r="E63" s="62">
        <f>SUM(E48:E61)</f>
        <v>7782313.1750369845</v>
      </c>
      <c r="G63" s="10"/>
      <c r="H63" s="10"/>
      <c r="I63" s="10"/>
      <c r="J63" s="10"/>
    </row>
    <row r="64" spans="1:16" x14ac:dyDescent="0.25">
      <c r="A64" s="32">
        <v>18</v>
      </c>
    </row>
    <row r="65" spans="1:2" x14ac:dyDescent="0.25">
      <c r="A65" s="32">
        <v>19</v>
      </c>
      <c r="B65" s="98" t="s">
        <v>143</v>
      </c>
    </row>
    <row r="66" spans="1:2" x14ac:dyDescent="0.25">
      <c r="B66" s="2" t="s">
        <v>144</v>
      </c>
    </row>
    <row r="67" spans="1:2" x14ac:dyDescent="0.25">
      <c r="B67" s="2" t="s">
        <v>145</v>
      </c>
    </row>
    <row r="68" spans="1:2" x14ac:dyDescent="0.25">
      <c r="B68" s="2" t="s">
        <v>146</v>
      </c>
    </row>
    <row r="69" spans="1:2" x14ac:dyDescent="0.25">
      <c r="B69" s="99" t="s">
        <v>147</v>
      </c>
    </row>
    <row r="70" spans="1:2" x14ac:dyDescent="0.25">
      <c r="B70" s="99" t="s">
        <v>148</v>
      </c>
    </row>
    <row r="71" spans="1:2" x14ac:dyDescent="0.25">
      <c r="B71" s="100" t="s">
        <v>149</v>
      </c>
    </row>
    <row r="72" spans="1:2" x14ac:dyDescent="0.25">
      <c r="B72" s="2" t="s">
        <v>150</v>
      </c>
    </row>
    <row r="73" spans="1:2" x14ac:dyDescent="0.25">
      <c r="B73" s="2" t="s">
        <v>151</v>
      </c>
    </row>
    <row r="74" spans="1:2" x14ac:dyDescent="0.25">
      <c r="B74" s="2" t="s">
        <v>152</v>
      </c>
    </row>
    <row r="75" spans="1:2" x14ac:dyDescent="0.25">
      <c r="B75" s="2" t="s">
        <v>153</v>
      </c>
    </row>
    <row r="76" spans="1:2" x14ac:dyDescent="0.25">
      <c r="B76" s="2" t="s">
        <v>154</v>
      </c>
    </row>
    <row r="77" spans="1:2" x14ac:dyDescent="0.25">
      <c r="B77" s="99" t="s">
        <v>155</v>
      </c>
    </row>
    <row r="78" spans="1:2" x14ac:dyDescent="0.25">
      <c r="B78" s="99" t="s">
        <v>156</v>
      </c>
    </row>
    <row r="79" spans="1:2" x14ac:dyDescent="0.25">
      <c r="B79" s="99" t="s">
        <v>157</v>
      </c>
    </row>
    <row r="80" spans="1:2" ht="15.6" x14ac:dyDescent="0.35">
      <c r="B80" s="2" t="s">
        <v>158</v>
      </c>
    </row>
    <row r="81" spans="1:10" x14ac:dyDescent="0.25">
      <c r="B81" s="2" t="s">
        <v>159</v>
      </c>
    </row>
    <row r="82" spans="1:10" x14ac:dyDescent="0.25">
      <c r="B82" s="2" t="s">
        <v>160</v>
      </c>
    </row>
    <row r="83" spans="1:10" x14ac:dyDescent="0.25">
      <c r="B83" s="134" t="s">
        <v>161</v>
      </c>
      <c r="C83" s="134"/>
    </row>
    <row r="84" spans="1:10" x14ac:dyDescent="0.25">
      <c r="B84" s="134" t="s">
        <v>162</v>
      </c>
      <c r="C84" s="134"/>
    </row>
    <row r="85" spans="1:10" x14ac:dyDescent="0.25">
      <c r="B85" s="2" t="s">
        <v>163</v>
      </c>
    </row>
    <row r="86" spans="1:10" x14ac:dyDescent="0.25">
      <c r="B86" s="2" t="s">
        <v>164</v>
      </c>
    </row>
    <row r="87" spans="1:10" x14ac:dyDescent="0.25">
      <c r="A87" s="32">
        <v>20</v>
      </c>
    </row>
    <row r="88" spans="1:10" x14ac:dyDescent="0.25">
      <c r="A88" s="32">
        <v>21</v>
      </c>
    </row>
    <row r="89" spans="1:10" ht="15.6" x14ac:dyDescent="0.3">
      <c r="A89" s="32">
        <v>22</v>
      </c>
      <c r="B89" s="1" t="s">
        <v>165</v>
      </c>
    </row>
    <row r="90" spans="1:10" x14ac:dyDescent="0.25">
      <c r="A90" s="32">
        <v>23</v>
      </c>
    </row>
    <row r="91" spans="1:10" x14ac:dyDescent="0.25">
      <c r="A91" s="32">
        <v>24</v>
      </c>
    </row>
    <row r="92" spans="1:10" ht="25.5" customHeight="1" x14ac:dyDescent="0.25">
      <c r="A92" s="32">
        <v>25</v>
      </c>
      <c r="B92" s="31" t="str">
        <f>B13</f>
        <v>CPUC Rate Group</v>
      </c>
      <c r="C92" s="101" t="s">
        <v>166</v>
      </c>
      <c r="D92" s="102"/>
      <c r="E92" s="102"/>
      <c r="F92" s="102"/>
      <c r="G92" s="102"/>
      <c r="H92" s="102"/>
      <c r="I92" s="102"/>
      <c r="J92" s="103"/>
    </row>
    <row r="93" spans="1:10" x14ac:dyDescent="0.25">
      <c r="A93" s="32" t="s">
        <v>167</v>
      </c>
      <c r="B93" s="104" t="s">
        <v>55</v>
      </c>
      <c r="C93" s="105" t="s">
        <v>168</v>
      </c>
      <c r="D93" s="57"/>
      <c r="E93" s="57"/>
      <c r="F93" s="57"/>
      <c r="G93" s="57"/>
      <c r="H93" s="57"/>
      <c r="I93" s="57"/>
      <c r="J93" s="57"/>
    </row>
    <row r="94" spans="1:10" x14ac:dyDescent="0.25">
      <c r="A94" s="32"/>
      <c r="B94" s="104" t="s">
        <v>169</v>
      </c>
      <c r="C94" s="105"/>
      <c r="D94" s="105" t="s">
        <v>170</v>
      </c>
      <c r="E94" s="57"/>
      <c r="F94" s="57"/>
      <c r="G94" s="57"/>
      <c r="H94" s="57"/>
      <c r="I94" s="57"/>
      <c r="J94" s="57"/>
    </row>
    <row r="95" spans="1:10" x14ac:dyDescent="0.25">
      <c r="A95" s="32" t="s">
        <v>171</v>
      </c>
      <c r="B95" s="104" t="s">
        <v>57</v>
      </c>
      <c r="C95" s="105" t="s">
        <v>172</v>
      </c>
      <c r="D95" s="57"/>
      <c r="E95" s="57"/>
      <c r="F95" s="57"/>
      <c r="G95" s="57"/>
      <c r="H95" s="57"/>
      <c r="I95" s="57"/>
      <c r="J95" s="104"/>
    </row>
    <row r="96" spans="1:10" x14ac:dyDescent="0.25">
      <c r="A96" s="32" t="s">
        <v>173</v>
      </c>
      <c r="B96" s="104" t="s">
        <v>62</v>
      </c>
      <c r="C96" s="105" t="s">
        <v>174</v>
      </c>
      <c r="D96" s="57"/>
      <c r="E96" s="57"/>
      <c r="F96" s="57"/>
      <c r="G96" s="57"/>
      <c r="H96" s="57"/>
      <c r="I96" s="57"/>
      <c r="J96" s="104"/>
    </row>
    <row r="97" spans="1:13" x14ac:dyDescent="0.25">
      <c r="A97" s="32" t="s">
        <v>175</v>
      </c>
      <c r="B97" s="104" t="s">
        <v>64</v>
      </c>
      <c r="C97" s="105" t="s">
        <v>176</v>
      </c>
      <c r="D97" s="57"/>
      <c r="E97" s="57"/>
      <c r="F97" s="57"/>
      <c r="G97" s="57"/>
      <c r="H97" s="57"/>
      <c r="I97" s="57"/>
      <c r="J97" s="104"/>
    </row>
    <row r="98" spans="1:13" x14ac:dyDescent="0.25">
      <c r="A98" s="32" t="s">
        <v>177</v>
      </c>
      <c r="B98" s="104" t="s">
        <v>66</v>
      </c>
      <c r="C98" s="105" t="s">
        <v>178</v>
      </c>
      <c r="D98" s="57"/>
      <c r="E98" s="57"/>
      <c r="F98" s="57"/>
      <c r="G98" s="57"/>
      <c r="H98" s="57"/>
      <c r="I98" s="57"/>
      <c r="J98" s="104"/>
    </row>
    <row r="99" spans="1:13" x14ac:dyDescent="0.25">
      <c r="A99" s="32" t="s">
        <v>179</v>
      </c>
      <c r="B99" s="104" t="s">
        <v>68</v>
      </c>
      <c r="C99" s="105" t="s">
        <v>180</v>
      </c>
      <c r="D99" s="57"/>
      <c r="E99" s="57"/>
      <c r="F99" s="57"/>
      <c r="G99" s="57"/>
      <c r="H99" s="57"/>
      <c r="I99" s="57"/>
      <c r="J99" s="104"/>
    </row>
    <row r="100" spans="1:13" x14ac:dyDescent="0.25">
      <c r="A100" s="32" t="s">
        <v>181</v>
      </c>
      <c r="B100" s="104" t="s">
        <v>70</v>
      </c>
      <c r="C100" s="105" t="s">
        <v>180</v>
      </c>
      <c r="D100" s="57"/>
      <c r="E100" s="57"/>
      <c r="F100" s="57"/>
      <c r="G100" s="57"/>
      <c r="H100" s="57"/>
      <c r="I100" s="57"/>
      <c r="J100" s="104"/>
    </row>
    <row r="101" spans="1:13" x14ac:dyDescent="0.25">
      <c r="A101" s="32" t="s">
        <v>182</v>
      </c>
      <c r="B101" s="104" t="s">
        <v>72</v>
      </c>
      <c r="C101" s="105" t="s">
        <v>183</v>
      </c>
      <c r="D101" s="57"/>
      <c r="E101" s="57"/>
      <c r="F101" s="57"/>
      <c r="G101" s="57"/>
      <c r="H101" s="57"/>
      <c r="I101" s="57"/>
      <c r="J101" s="104"/>
    </row>
    <row r="102" spans="1:13" x14ac:dyDescent="0.25">
      <c r="A102" s="32" t="s">
        <v>184</v>
      </c>
      <c r="B102" s="104" t="s">
        <v>74</v>
      </c>
      <c r="C102" s="105" t="s">
        <v>185</v>
      </c>
      <c r="D102" s="57"/>
      <c r="E102" s="57"/>
      <c r="F102" s="57"/>
      <c r="G102" s="57"/>
      <c r="H102" s="57"/>
      <c r="I102" s="57"/>
      <c r="J102" s="104"/>
    </row>
    <row r="103" spans="1:13" x14ac:dyDescent="0.25">
      <c r="A103" s="32" t="s">
        <v>186</v>
      </c>
      <c r="B103" s="104" t="s">
        <v>76</v>
      </c>
      <c r="C103" s="105" t="s">
        <v>187</v>
      </c>
      <c r="D103" s="57"/>
      <c r="E103" s="57"/>
      <c r="F103" s="57"/>
      <c r="G103" s="57"/>
      <c r="H103" s="57"/>
      <c r="I103" s="57"/>
      <c r="J103" s="104"/>
    </row>
    <row r="104" spans="1:13" x14ac:dyDescent="0.25">
      <c r="A104" s="32" t="s">
        <v>188</v>
      </c>
      <c r="B104" s="104" t="s">
        <v>78</v>
      </c>
      <c r="C104" s="105" t="s">
        <v>187</v>
      </c>
      <c r="D104" s="57"/>
      <c r="E104" s="57"/>
      <c r="F104" s="57"/>
      <c r="G104" s="57"/>
      <c r="H104" s="57"/>
      <c r="I104" s="57"/>
      <c r="J104" s="104"/>
    </row>
    <row r="105" spans="1:13" x14ac:dyDescent="0.25">
      <c r="A105" s="32" t="s">
        <v>189</v>
      </c>
      <c r="B105" s="104" t="s">
        <v>80</v>
      </c>
      <c r="C105" s="105" t="s">
        <v>190</v>
      </c>
      <c r="D105" s="57"/>
      <c r="E105" s="57"/>
      <c r="F105" s="57"/>
      <c r="G105" s="57"/>
      <c r="H105" s="57"/>
      <c r="I105" s="57"/>
      <c r="J105" s="104"/>
    </row>
    <row r="106" spans="1:13" x14ac:dyDescent="0.25">
      <c r="A106" s="32" t="s">
        <v>191</v>
      </c>
      <c r="B106" s="104" t="s">
        <v>82</v>
      </c>
      <c r="C106" s="105" t="s">
        <v>192</v>
      </c>
      <c r="D106" s="57"/>
      <c r="E106" s="57"/>
      <c r="F106" s="57"/>
      <c r="G106" s="57"/>
      <c r="H106" s="57"/>
      <c r="I106" s="57"/>
      <c r="J106" s="104"/>
    </row>
    <row r="107" spans="1:13" x14ac:dyDescent="0.25">
      <c r="A107" s="32" t="s">
        <v>193</v>
      </c>
      <c r="B107" s="104" t="s">
        <v>84</v>
      </c>
      <c r="C107" s="105" t="s">
        <v>194</v>
      </c>
      <c r="D107" s="57"/>
      <c r="E107" s="57"/>
      <c r="F107" s="57"/>
      <c r="G107" s="57"/>
      <c r="H107" s="57"/>
      <c r="I107" s="57"/>
      <c r="J107" s="104"/>
    </row>
    <row r="108" spans="1:13" x14ac:dyDescent="0.25">
      <c r="A108" s="32" t="s">
        <v>195</v>
      </c>
      <c r="B108" s="106" t="s">
        <v>86</v>
      </c>
      <c r="C108" s="105"/>
      <c r="D108" s="57"/>
      <c r="E108" s="57"/>
      <c r="F108" s="57"/>
      <c r="G108" s="57"/>
      <c r="H108" s="57"/>
      <c r="I108" s="57"/>
      <c r="J108" s="104"/>
    </row>
    <row r="109" spans="1:13" x14ac:dyDescent="0.25">
      <c r="A109" s="32">
        <v>27</v>
      </c>
    </row>
    <row r="110" spans="1:13" x14ac:dyDescent="0.25">
      <c r="A110" s="32">
        <f t="shared" ref="A110:A116" si="18">A109+1</f>
        <v>28</v>
      </c>
    </row>
    <row r="111" spans="1:13" ht="15.6" x14ac:dyDescent="0.3">
      <c r="A111" s="32">
        <f t="shared" si="18"/>
        <v>29</v>
      </c>
      <c r="B111" s="1" t="s">
        <v>196</v>
      </c>
    </row>
    <row r="112" spans="1:13" x14ac:dyDescent="0.25">
      <c r="A112" s="32">
        <f t="shared" si="18"/>
        <v>30</v>
      </c>
      <c r="C112" s="11" t="s">
        <v>7</v>
      </c>
      <c r="D112" s="11" t="s">
        <v>8</v>
      </c>
      <c r="E112" s="11" t="s">
        <v>9</v>
      </c>
      <c r="F112" s="11" t="s">
        <v>10</v>
      </c>
      <c r="G112" s="11" t="s">
        <v>11</v>
      </c>
      <c r="H112" s="11" t="s">
        <v>12</v>
      </c>
      <c r="I112" s="11" t="s">
        <v>13</v>
      </c>
      <c r="J112" s="11" t="s">
        <v>14</v>
      </c>
      <c r="K112" s="11" t="s">
        <v>15</v>
      </c>
      <c r="L112" s="11" t="s">
        <v>16</v>
      </c>
      <c r="M112" s="11" t="s">
        <v>17</v>
      </c>
    </row>
    <row r="113" spans="1:13" s="14" customFormat="1" ht="39.6" x14ac:dyDescent="0.25">
      <c r="A113" s="107">
        <f t="shared" si="18"/>
        <v>31</v>
      </c>
      <c r="C113" s="15"/>
      <c r="D113" s="15"/>
      <c r="E113" s="15"/>
      <c r="F113" s="66" t="s">
        <v>197</v>
      </c>
      <c r="G113" s="15"/>
      <c r="H113" s="66"/>
      <c r="I113" s="12" t="s">
        <v>198</v>
      </c>
      <c r="J113" s="12" t="s">
        <v>199</v>
      </c>
      <c r="K113" s="12" t="s">
        <v>200</v>
      </c>
      <c r="L113" s="12" t="s">
        <v>201</v>
      </c>
      <c r="M113" s="12" t="s">
        <v>202</v>
      </c>
    </row>
    <row r="114" spans="1:13" s="108" customFormat="1" x14ac:dyDescent="0.25">
      <c r="A114" s="32">
        <f t="shared" si="18"/>
        <v>32</v>
      </c>
      <c r="C114" s="109"/>
      <c r="D114" s="109"/>
      <c r="E114" s="109"/>
      <c r="F114" s="110"/>
      <c r="G114" s="109"/>
      <c r="H114" s="110"/>
      <c r="I114" s="18" t="s">
        <v>203</v>
      </c>
      <c r="K114" s="110"/>
      <c r="L114" s="110"/>
      <c r="M114" s="110"/>
    </row>
    <row r="115" spans="1:13" ht="21.75" customHeight="1" x14ac:dyDescent="0.25">
      <c r="A115" s="32">
        <f t="shared" si="18"/>
        <v>33</v>
      </c>
      <c r="B115" s="111"/>
      <c r="C115" s="135" t="s">
        <v>204</v>
      </c>
      <c r="D115" s="136"/>
      <c r="E115" s="136"/>
      <c r="F115" s="139"/>
      <c r="G115" s="111"/>
      <c r="H115" s="112"/>
      <c r="I115" s="111"/>
      <c r="J115" s="111"/>
      <c r="K115" s="111"/>
      <c r="L115" s="111"/>
      <c r="M115" s="113"/>
    </row>
    <row r="116" spans="1:13" s="3" customFormat="1" ht="51.75" customHeight="1" x14ac:dyDescent="0.25">
      <c r="A116" s="32">
        <f t="shared" si="18"/>
        <v>34</v>
      </c>
      <c r="B116" s="28" t="str">
        <f>B13</f>
        <v>CPUC Rate Group</v>
      </c>
      <c r="C116" s="114">
        <v>2014</v>
      </c>
      <c r="D116" s="115">
        <v>2015</v>
      </c>
      <c r="E116" s="115">
        <v>2016</v>
      </c>
      <c r="F116" s="28" t="s">
        <v>205</v>
      </c>
      <c r="G116" s="28" t="s">
        <v>206</v>
      </c>
      <c r="H116" s="116" t="s">
        <v>207</v>
      </c>
      <c r="I116" s="28" t="s">
        <v>208</v>
      </c>
      <c r="J116" s="28" t="s">
        <v>45</v>
      </c>
      <c r="K116" s="28" t="s">
        <v>209</v>
      </c>
      <c r="L116" s="28" t="s">
        <v>210</v>
      </c>
      <c r="M116" s="28" t="s">
        <v>211</v>
      </c>
    </row>
    <row r="117" spans="1:13" ht="14.4" x14ac:dyDescent="0.3">
      <c r="A117" s="32" t="s">
        <v>212</v>
      </c>
      <c r="B117" s="33" t="str">
        <f>B14</f>
        <v>Domestic</v>
      </c>
      <c r="C117" s="117">
        <v>68996.84</v>
      </c>
      <c r="D117" s="117">
        <v>70774.77</v>
      </c>
      <c r="E117" s="117">
        <v>70601.36</v>
      </c>
      <c r="F117" s="39">
        <f>(C117+D117+E117)/3</f>
        <v>70124.323333333319</v>
      </c>
      <c r="G117" s="118">
        <v>1.0905</v>
      </c>
      <c r="H117" s="119">
        <v>29556.667926666665</v>
      </c>
      <c r="I117" s="39">
        <f>E14</f>
        <v>28442.665725131195</v>
      </c>
      <c r="J117" s="39">
        <f>F14</f>
        <v>0</v>
      </c>
      <c r="K117" s="39">
        <f>I117+J117</f>
        <v>28442.665725131195</v>
      </c>
      <c r="L117" s="39">
        <f>(F117*G117)*(K117/H117)</f>
        <v>73588.369176484135</v>
      </c>
      <c r="M117" s="34">
        <f t="shared" ref="M117:M130" si="19">L117/$L$132</f>
        <v>0.41715756295892231</v>
      </c>
    </row>
    <row r="118" spans="1:13" ht="14.4" x14ac:dyDescent="0.3">
      <c r="A118" s="32" t="s">
        <v>213</v>
      </c>
      <c r="B118" s="33" t="str">
        <f>B15</f>
        <v>GS-1</v>
      </c>
      <c r="C118" s="117">
        <v>12145.16</v>
      </c>
      <c r="D118" s="117">
        <v>12888.83</v>
      </c>
      <c r="E118" s="117">
        <v>12483.47</v>
      </c>
      <c r="F118" s="39">
        <f t="shared" ref="F118:F130" si="20">(C118+D118+E118)/3</f>
        <v>12505.82</v>
      </c>
      <c r="G118" s="118">
        <v>1.0909</v>
      </c>
      <c r="H118" s="119">
        <v>5881.3626699999995</v>
      </c>
      <c r="I118" s="39">
        <f t="shared" ref="I118" si="21">E15</f>
        <v>5910.7051936480202</v>
      </c>
      <c r="J118" s="39">
        <f>F15</f>
        <v>0</v>
      </c>
      <c r="K118" s="39">
        <f t="shared" ref="K118:K130" si="22">I118+J118</f>
        <v>5910.7051936480202</v>
      </c>
      <c r="L118" s="39">
        <f t="shared" ref="L118:L130" si="23">(F118*G118)*(K118/H118)</f>
        <v>13710.66290471832</v>
      </c>
      <c r="M118" s="34">
        <f t="shared" si="19"/>
        <v>7.7722971549576289E-2</v>
      </c>
    </row>
    <row r="119" spans="1:13" ht="14.4" x14ac:dyDescent="0.3">
      <c r="A119" s="32" t="s">
        <v>214</v>
      </c>
      <c r="B119" s="33" t="str">
        <f t="shared" ref="B119:B130" si="24">B17</f>
        <v>TC-1</v>
      </c>
      <c r="C119" s="117">
        <v>85.18</v>
      </c>
      <c r="D119" s="117">
        <v>83.21</v>
      </c>
      <c r="E119" s="117">
        <v>81.87</v>
      </c>
      <c r="F119" s="39">
        <f t="shared" si="20"/>
        <v>83.42</v>
      </c>
      <c r="G119" s="118">
        <v>1.0916999999999999</v>
      </c>
      <c r="H119" s="119">
        <v>60.96546</v>
      </c>
      <c r="I119" s="39">
        <f t="shared" ref="I119:J121" si="25">E17</f>
        <v>57.65441525896685</v>
      </c>
      <c r="J119" s="39">
        <f t="shared" si="25"/>
        <v>0</v>
      </c>
      <c r="K119" s="39">
        <f t="shared" si="22"/>
        <v>57.65441525896685</v>
      </c>
      <c r="L119" s="39">
        <f t="shared" si="23"/>
        <v>86.123607416885235</v>
      </c>
      <c r="M119" s="34">
        <f t="shared" si="19"/>
        <v>4.8821729011409675E-4</v>
      </c>
    </row>
    <row r="120" spans="1:13" ht="14.4" x14ac:dyDescent="0.3">
      <c r="A120" s="32" t="s">
        <v>215</v>
      </c>
      <c r="B120" s="33" t="str">
        <f t="shared" si="24"/>
        <v>GS-2</v>
      </c>
      <c r="C120" s="117">
        <v>30524.12</v>
      </c>
      <c r="D120" s="117">
        <v>30626.46</v>
      </c>
      <c r="E120" s="117">
        <v>29451.81</v>
      </c>
      <c r="F120" s="39">
        <f t="shared" si="20"/>
        <v>30200.796666666665</v>
      </c>
      <c r="G120" s="118">
        <v>1.0905</v>
      </c>
      <c r="H120" s="119">
        <v>14811.063876666667</v>
      </c>
      <c r="I120" s="39">
        <f t="shared" si="25"/>
        <v>13099.623737986469</v>
      </c>
      <c r="J120" s="39">
        <f t="shared" si="25"/>
        <v>0</v>
      </c>
      <c r="K120" s="39">
        <f t="shared" si="22"/>
        <v>13099.623737986469</v>
      </c>
      <c r="L120" s="39">
        <f t="shared" si="23"/>
        <v>29128.400404765085</v>
      </c>
      <c r="M120" s="34">
        <f t="shared" si="19"/>
        <v>0.16512300329148344</v>
      </c>
    </row>
    <row r="121" spans="1:13" ht="14.4" x14ac:dyDescent="0.3">
      <c r="A121" s="32" t="s">
        <v>216</v>
      </c>
      <c r="B121" s="33" t="str">
        <f t="shared" si="24"/>
        <v>TOU-GS-3</v>
      </c>
      <c r="C121" s="117">
        <v>16197.25</v>
      </c>
      <c r="D121" s="117">
        <v>16184.27</v>
      </c>
      <c r="E121" s="117">
        <v>15946.69</v>
      </c>
      <c r="F121" s="39">
        <f t="shared" si="20"/>
        <v>16109.403333333334</v>
      </c>
      <c r="G121" s="118">
        <v>1.0900000000000001</v>
      </c>
      <c r="H121" s="119">
        <v>8565.12637</v>
      </c>
      <c r="I121" s="39">
        <f t="shared" si="25"/>
        <v>7839.7227893620366</v>
      </c>
      <c r="J121" s="39">
        <f t="shared" si="25"/>
        <v>0</v>
      </c>
      <c r="K121" s="39">
        <f t="shared" si="22"/>
        <v>7839.7227893620366</v>
      </c>
      <c r="L121" s="39">
        <f t="shared" si="23"/>
        <v>16072.109571751751</v>
      </c>
      <c r="M121" s="34">
        <f t="shared" si="19"/>
        <v>9.1109534503765688E-2</v>
      </c>
    </row>
    <row r="122" spans="1:13" ht="14.4" x14ac:dyDescent="0.3">
      <c r="A122" s="32" t="s">
        <v>217</v>
      </c>
      <c r="B122" s="33" t="str">
        <f t="shared" si="24"/>
        <v>TOU-8-SEC</v>
      </c>
      <c r="C122" s="117">
        <v>15190.25</v>
      </c>
      <c r="D122" s="117">
        <v>14907.32</v>
      </c>
      <c r="E122" s="117">
        <v>14707.02</v>
      </c>
      <c r="F122" s="39">
        <f t="shared" si="20"/>
        <v>14934.863333333333</v>
      </c>
      <c r="G122" s="118">
        <v>1.0909</v>
      </c>
      <c r="H122" s="119">
        <v>8585.843809647542</v>
      </c>
      <c r="I122" s="39">
        <f>E20+E23</f>
        <v>8168.1290301649788</v>
      </c>
      <c r="J122" s="39">
        <f t="shared" ref="J122:J130" si="26">F20</f>
        <v>0</v>
      </c>
      <c r="K122" s="39">
        <f>I122+J122</f>
        <v>8168.1290301649788</v>
      </c>
      <c r="L122" s="39">
        <f t="shared" si="23"/>
        <v>15499.789511032091</v>
      </c>
      <c r="M122" s="34">
        <f t="shared" si="19"/>
        <v>8.786516797636329E-2</v>
      </c>
    </row>
    <row r="123" spans="1:13" ht="14.4" x14ac:dyDescent="0.3">
      <c r="A123" s="32" t="s">
        <v>218</v>
      </c>
      <c r="B123" s="33" t="str">
        <f t="shared" si="24"/>
        <v>TOU-8-PRI</v>
      </c>
      <c r="C123" s="117">
        <v>9948.57</v>
      </c>
      <c r="D123" s="117">
        <v>9881.76</v>
      </c>
      <c r="E123" s="117">
        <v>9683.99</v>
      </c>
      <c r="F123" s="39">
        <f t="shared" si="20"/>
        <v>9838.1066666666666</v>
      </c>
      <c r="G123" s="118">
        <v>1.0644</v>
      </c>
      <c r="H123" s="119">
        <v>6150.0327036823846</v>
      </c>
      <c r="I123" s="39">
        <f>E21+E24</f>
        <v>6043.3454223804365</v>
      </c>
      <c r="J123" s="39">
        <f t="shared" si="26"/>
        <v>0</v>
      </c>
      <c r="K123" s="39">
        <f t="shared" si="22"/>
        <v>6043.3454223804365</v>
      </c>
      <c r="L123" s="39">
        <f t="shared" si="23"/>
        <v>10290.023954286158</v>
      </c>
      <c r="M123" s="34">
        <f t="shared" si="19"/>
        <v>5.8332062030947623E-2</v>
      </c>
    </row>
    <row r="124" spans="1:13" ht="14.4" x14ac:dyDescent="0.3">
      <c r="A124" s="32" t="s">
        <v>219</v>
      </c>
      <c r="B124" s="33" t="str">
        <f t="shared" si="24"/>
        <v>TOU-8-SUB</v>
      </c>
      <c r="C124" s="117">
        <v>11843.23</v>
      </c>
      <c r="D124" s="117">
        <v>10984.46</v>
      </c>
      <c r="E124" s="117">
        <v>11021.36</v>
      </c>
      <c r="F124" s="39">
        <f t="shared" si="20"/>
        <v>11283.016666666668</v>
      </c>
      <c r="G124" s="118">
        <v>1.0315000000000001</v>
      </c>
      <c r="H124" s="119">
        <v>7868.2314182368382</v>
      </c>
      <c r="I124" s="39">
        <f>E22+E25</f>
        <v>7540.1804196665589</v>
      </c>
      <c r="J124" s="39">
        <f t="shared" si="26"/>
        <v>0</v>
      </c>
      <c r="K124" s="39">
        <f t="shared" si="22"/>
        <v>7540.1804196665589</v>
      </c>
      <c r="L124" s="39">
        <f t="shared" si="23"/>
        <v>11153.189337280148</v>
      </c>
      <c r="M124" s="34">
        <f t="shared" si="19"/>
        <v>6.3225171793126492E-2</v>
      </c>
    </row>
    <row r="125" spans="1:13" ht="14.4" x14ac:dyDescent="0.3">
      <c r="A125" s="32" t="s">
        <v>220</v>
      </c>
      <c r="B125" s="33" t="str">
        <f t="shared" si="24"/>
        <v>TOU-8-Standby-SEC</v>
      </c>
      <c r="C125" s="117">
        <v>100.81</v>
      </c>
      <c r="D125" s="117">
        <v>143.15</v>
      </c>
      <c r="E125" s="117">
        <v>155.46</v>
      </c>
      <c r="F125" s="39">
        <f t="shared" si="20"/>
        <v>133.14000000000001</v>
      </c>
      <c r="G125" s="118">
        <v>1.0911</v>
      </c>
      <c r="H125" s="119">
        <v>84.658774149536043</v>
      </c>
      <c r="I125" s="39">
        <f>E23*0</f>
        <v>0</v>
      </c>
      <c r="J125" s="39">
        <f t="shared" si="26"/>
        <v>96.768373999999994</v>
      </c>
      <c r="K125" s="39">
        <f t="shared" si="22"/>
        <v>96.768373999999994</v>
      </c>
      <c r="L125" s="39">
        <f t="shared" si="23"/>
        <v>166.04835457773083</v>
      </c>
      <c r="M125" s="34">
        <f t="shared" si="19"/>
        <v>9.4129449672762362E-4</v>
      </c>
    </row>
    <row r="126" spans="1:13" ht="14.4" x14ac:dyDescent="0.3">
      <c r="A126" s="32" t="s">
        <v>221</v>
      </c>
      <c r="B126" s="33" t="str">
        <f t="shared" si="24"/>
        <v>TOU-8-Standby-PRI</v>
      </c>
      <c r="C126" s="117">
        <v>294.37</v>
      </c>
      <c r="D126" s="117">
        <v>311.39999999999998</v>
      </c>
      <c r="E126" s="117">
        <v>372.99</v>
      </c>
      <c r="F126" s="39">
        <f t="shared" si="20"/>
        <v>326.25333333333333</v>
      </c>
      <c r="G126" s="118">
        <v>1.0645</v>
      </c>
      <c r="H126" s="119">
        <v>235.83953844949079</v>
      </c>
      <c r="I126" s="39">
        <f>E24*0</f>
        <v>0</v>
      </c>
      <c r="J126" s="39">
        <f t="shared" si="26"/>
        <v>243.32826499999999</v>
      </c>
      <c r="K126" s="39">
        <f t="shared" si="22"/>
        <v>243.32826499999999</v>
      </c>
      <c r="L126" s="39">
        <f t="shared" si="23"/>
        <v>358.3245520155665</v>
      </c>
      <c r="M126" s="34">
        <f t="shared" si="19"/>
        <v>2.0312693233991161E-3</v>
      </c>
    </row>
    <row r="127" spans="1:13" ht="14.4" x14ac:dyDescent="0.3">
      <c r="A127" s="32" t="s">
        <v>222</v>
      </c>
      <c r="B127" s="33" t="str">
        <f t="shared" si="24"/>
        <v>TOU-8-Standby-SUB</v>
      </c>
      <c r="C127" s="117">
        <v>587.17999999999995</v>
      </c>
      <c r="D127" s="117">
        <v>631.27</v>
      </c>
      <c r="E127" s="117">
        <v>713.8</v>
      </c>
      <c r="F127" s="39">
        <f t="shared" si="20"/>
        <v>644.08333333333326</v>
      </c>
      <c r="G127" s="118">
        <v>1.0316000000000001</v>
      </c>
      <c r="H127" s="119">
        <v>507.57454349336689</v>
      </c>
      <c r="I127" s="39">
        <f>E25*0</f>
        <v>0</v>
      </c>
      <c r="J127" s="39">
        <f t="shared" si="26"/>
        <v>559.65611000000001</v>
      </c>
      <c r="K127" s="39">
        <f t="shared" si="22"/>
        <v>559.65611000000001</v>
      </c>
      <c r="L127" s="39">
        <f t="shared" si="23"/>
        <v>732.61332168456136</v>
      </c>
      <c r="M127" s="34">
        <f t="shared" si="19"/>
        <v>4.1530365638655139E-3</v>
      </c>
    </row>
    <row r="128" spans="1:13" ht="14.4" x14ac:dyDescent="0.3">
      <c r="A128" s="32" t="s">
        <v>223</v>
      </c>
      <c r="B128" s="33" t="str">
        <f t="shared" si="24"/>
        <v>TOU-PA-2</v>
      </c>
      <c r="C128" s="117">
        <v>3188.9</v>
      </c>
      <c r="D128" s="117">
        <v>3023.59</v>
      </c>
      <c r="E128" s="117">
        <v>2748.37</v>
      </c>
      <c r="F128" s="39">
        <f t="shared" si="20"/>
        <v>2986.9533333333334</v>
      </c>
      <c r="G128" s="118">
        <v>1.091</v>
      </c>
      <c r="H128" s="119">
        <v>2137.80564</v>
      </c>
      <c r="I128" s="39">
        <f>E26</f>
        <v>1816.152596448351</v>
      </c>
      <c r="J128" s="39">
        <f t="shared" si="26"/>
        <v>0</v>
      </c>
      <c r="K128" s="39">
        <f t="shared" si="22"/>
        <v>1816.152596448351</v>
      </c>
      <c r="L128" s="39">
        <f t="shared" si="23"/>
        <v>2768.4539598826664</v>
      </c>
      <c r="M128" s="34">
        <f t="shared" si="19"/>
        <v>1.5693804876949012E-2</v>
      </c>
    </row>
    <row r="129" spans="1:13" ht="14.4" x14ac:dyDescent="0.3">
      <c r="A129" s="32" t="s">
        <v>224</v>
      </c>
      <c r="B129" s="33" t="str">
        <f t="shared" si="24"/>
        <v>TOU-PA-3</v>
      </c>
      <c r="C129" s="117">
        <v>1845.59</v>
      </c>
      <c r="D129" s="117">
        <v>1832.57</v>
      </c>
      <c r="E129" s="117">
        <v>1891.42</v>
      </c>
      <c r="F129" s="39">
        <f t="shared" si="20"/>
        <v>1856.5266666666666</v>
      </c>
      <c r="G129" s="118">
        <v>1.0895999999999999</v>
      </c>
      <c r="H129" s="119">
        <v>1406.2727466666665</v>
      </c>
      <c r="I129" s="39">
        <f>E27</f>
        <v>1453.6399206185063</v>
      </c>
      <c r="J129" s="39">
        <f t="shared" si="26"/>
        <v>0</v>
      </c>
      <c r="K129" s="39">
        <f t="shared" si="22"/>
        <v>1453.6399206185063</v>
      </c>
      <c r="L129" s="39">
        <f t="shared" si="23"/>
        <v>2091.0073879276315</v>
      </c>
      <c r="M129" s="34">
        <f t="shared" si="19"/>
        <v>1.1853497445840093E-2</v>
      </c>
    </row>
    <row r="130" spans="1:13" ht="14.4" x14ac:dyDescent="0.3">
      <c r="A130" s="32" t="s">
        <v>225</v>
      </c>
      <c r="B130" s="33" t="str">
        <f t="shared" si="24"/>
        <v>Street Lighting</v>
      </c>
      <c r="C130" s="117">
        <v>812</v>
      </c>
      <c r="D130" s="117">
        <v>659.6</v>
      </c>
      <c r="E130" s="117">
        <v>684.89</v>
      </c>
      <c r="F130" s="39">
        <f t="shared" si="20"/>
        <v>718.82999999999993</v>
      </c>
      <c r="G130" s="118">
        <v>1.0938000000000001</v>
      </c>
      <c r="H130" s="119">
        <v>723.25703333333331</v>
      </c>
      <c r="I130" s="39">
        <f>E28</f>
        <v>698.31266766750207</v>
      </c>
      <c r="J130" s="39">
        <f t="shared" si="26"/>
        <v>0</v>
      </c>
      <c r="K130" s="39">
        <f t="shared" si="22"/>
        <v>698.31266766750207</v>
      </c>
      <c r="L130" s="39">
        <f t="shared" si="23"/>
        <v>759.139112233079</v>
      </c>
      <c r="M130" s="34">
        <f t="shared" si="19"/>
        <v>4.3034058989195444E-3</v>
      </c>
    </row>
    <row r="131" spans="1:13" ht="14.4" x14ac:dyDescent="0.3">
      <c r="A131" s="32" t="s">
        <v>226</v>
      </c>
      <c r="B131" s="55" t="s">
        <v>86</v>
      </c>
      <c r="C131" s="117"/>
      <c r="D131" s="117"/>
      <c r="E131" s="117"/>
      <c r="F131" s="39"/>
      <c r="G131" s="118"/>
      <c r="H131" s="119"/>
      <c r="K131" s="39"/>
      <c r="L131" s="39"/>
      <c r="M131" s="34"/>
    </row>
    <row r="132" spans="1:13" x14ac:dyDescent="0.25">
      <c r="A132" s="32">
        <v>36</v>
      </c>
      <c r="B132" s="60" t="s">
        <v>87</v>
      </c>
      <c r="C132" s="63">
        <f>SUM(C117:C131)</f>
        <v>171759.44999999998</v>
      </c>
      <c r="D132" s="63">
        <f>SUM(D117:D131)</f>
        <v>172932.66</v>
      </c>
      <c r="E132" s="63">
        <f>SUM(E117:E131)</f>
        <v>170544.5</v>
      </c>
      <c r="F132" s="63">
        <f>SUM(F117:F131)</f>
        <v>171745.53666666665</v>
      </c>
      <c r="G132" s="61"/>
      <c r="H132" s="63">
        <f>SUM(H117:H131)</f>
        <v>86574.702510992487</v>
      </c>
      <c r="I132" s="63">
        <f t="shared" ref="I132:J132" si="27">SUM(I117:I131)</f>
        <v>81070.131918333005</v>
      </c>
      <c r="J132" s="63">
        <f t="shared" si="27"/>
        <v>899.75274899999999</v>
      </c>
      <c r="K132" s="63">
        <f>SUM(K117:K131)</f>
        <v>81969.884667333012</v>
      </c>
      <c r="L132" s="63">
        <f>SUM(L117:L131)</f>
        <v>176404.25515605579</v>
      </c>
      <c r="M132" s="120">
        <f>SUM(M117:M131)</f>
        <v>1.0000000000000002</v>
      </c>
    </row>
    <row r="133" spans="1:13" x14ac:dyDescent="0.25">
      <c r="J133" s="81"/>
      <c r="L133" s="81"/>
      <c r="M133" s="94"/>
    </row>
    <row r="134" spans="1:13" x14ac:dyDescent="0.25">
      <c r="J134" s="81"/>
      <c r="L134" s="81"/>
      <c r="M134" s="94"/>
    </row>
    <row r="135" spans="1:13" x14ac:dyDescent="0.25">
      <c r="J135" s="81"/>
      <c r="L135" s="81"/>
      <c r="M135" s="94"/>
    </row>
    <row r="136" spans="1:13" x14ac:dyDescent="0.25">
      <c r="J136" s="81"/>
      <c r="L136" s="81"/>
      <c r="M136" s="94"/>
    </row>
    <row r="137" spans="1:13" x14ac:dyDescent="0.25">
      <c r="J137" s="81"/>
      <c r="L137" s="81"/>
      <c r="M137" s="94"/>
    </row>
    <row r="138" spans="1:13" x14ac:dyDescent="0.25">
      <c r="J138" s="81"/>
      <c r="L138" s="81"/>
      <c r="M138" s="94"/>
    </row>
    <row r="139" spans="1:13" x14ac:dyDescent="0.25">
      <c r="J139" s="81"/>
      <c r="L139" s="81"/>
      <c r="M139" s="94"/>
    </row>
    <row r="140" spans="1:13" x14ac:dyDescent="0.25">
      <c r="J140" s="81"/>
      <c r="L140" s="81"/>
      <c r="M140" s="94"/>
    </row>
    <row r="141" spans="1:13" x14ac:dyDescent="0.25">
      <c r="J141" s="81"/>
      <c r="L141" s="81"/>
      <c r="M141" s="94"/>
    </row>
    <row r="142" spans="1:13" x14ac:dyDescent="0.25">
      <c r="L142" s="81"/>
    </row>
    <row r="146" spans="13:13" x14ac:dyDescent="0.25">
      <c r="M146" s="2"/>
    </row>
    <row r="147" spans="13:13" x14ac:dyDescent="0.25">
      <c r="M147" s="2"/>
    </row>
    <row r="148" spans="13:13" x14ac:dyDescent="0.25">
      <c r="M148" s="2"/>
    </row>
    <row r="149" spans="13:13" x14ac:dyDescent="0.25">
      <c r="M149" s="2"/>
    </row>
    <row r="150" spans="13:13" x14ac:dyDescent="0.25">
      <c r="M150" s="2"/>
    </row>
    <row r="151" spans="13:13" x14ac:dyDescent="0.25">
      <c r="M151" s="2"/>
    </row>
    <row r="152" spans="13:13" x14ac:dyDescent="0.25">
      <c r="M152" s="2"/>
    </row>
    <row r="153" spans="13:13" x14ac:dyDescent="0.25">
      <c r="M153" s="2"/>
    </row>
    <row r="154" spans="13:13" x14ac:dyDescent="0.25">
      <c r="M154" s="2"/>
    </row>
    <row r="155" spans="13:13" x14ac:dyDescent="0.25">
      <c r="M155" s="2"/>
    </row>
    <row r="156" spans="13:13" x14ac:dyDescent="0.25">
      <c r="M156" s="2"/>
    </row>
    <row r="157" spans="13:13" x14ac:dyDescent="0.25">
      <c r="M157" s="2"/>
    </row>
    <row r="158" spans="13:13" x14ac:dyDescent="0.25">
      <c r="M158" s="2"/>
    </row>
    <row r="159" spans="13:13" x14ac:dyDescent="0.25">
      <c r="M159" s="2"/>
    </row>
    <row r="160" spans="13:13" x14ac:dyDescent="0.25">
      <c r="M160" s="2"/>
    </row>
    <row r="161" spans="13:13" x14ac:dyDescent="0.25">
      <c r="M161" s="2"/>
    </row>
    <row r="162" spans="13:13" x14ac:dyDescent="0.25">
      <c r="M162" s="2"/>
    </row>
    <row r="163" spans="13:13" x14ac:dyDescent="0.25">
      <c r="M163" s="2"/>
    </row>
    <row r="164" spans="13:13" x14ac:dyDescent="0.25">
      <c r="M164" s="2"/>
    </row>
    <row r="165" spans="13:13" x14ac:dyDescent="0.25">
      <c r="M165" s="2"/>
    </row>
    <row r="166" spans="13:13" x14ac:dyDescent="0.25">
      <c r="M166" s="2"/>
    </row>
    <row r="167" spans="13:13" x14ac:dyDescent="0.25">
      <c r="M167" s="2"/>
    </row>
    <row r="168" spans="13:13" x14ac:dyDescent="0.25">
      <c r="M168" s="2"/>
    </row>
    <row r="169" spans="13:13" x14ac:dyDescent="0.25">
      <c r="M169" s="2"/>
    </row>
    <row r="170" spans="13:13" x14ac:dyDescent="0.25">
      <c r="M170" s="2"/>
    </row>
    <row r="171" spans="13:13" x14ac:dyDescent="0.25">
      <c r="M171" s="2"/>
    </row>
    <row r="172" spans="13:13" x14ac:dyDescent="0.25">
      <c r="M172" s="2"/>
    </row>
    <row r="173" spans="13:13" x14ac:dyDescent="0.25">
      <c r="M173" s="2"/>
    </row>
    <row r="174" spans="13:13" x14ac:dyDescent="0.25">
      <c r="M174" s="2"/>
    </row>
    <row r="175" spans="13:13" x14ac:dyDescent="0.25">
      <c r="M175" s="2"/>
    </row>
    <row r="176" spans="13:13" x14ac:dyDescent="0.25">
      <c r="M176" s="2"/>
    </row>
    <row r="177" spans="13:13" x14ac:dyDescent="0.25">
      <c r="M177" s="2"/>
    </row>
    <row r="178" spans="13:13" x14ac:dyDescent="0.25">
      <c r="M178" s="2"/>
    </row>
    <row r="179" spans="13:13" x14ac:dyDescent="0.25">
      <c r="M179" s="2"/>
    </row>
    <row r="180" spans="13:13" x14ac:dyDescent="0.25">
      <c r="M180" s="2"/>
    </row>
    <row r="181" spans="13:13" x14ac:dyDescent="0.25">
      <c r="M181" s="2"/>
    </row>
    <row r="182" spans="13:13" x14ac:dyDescent="0.25">
      <c r="M182" s="2"/>
    </row>
    <row r="183" spans="13:13" x14ac:dyDescent="0.25">
      <c r="M183" s="2"/>
    </row>
    <row r="184" spans="13:13" x14ac:dyDescent="0.25">
      <c r="M184" s="2"/>
    </row>
    <row r="185" spans="13:13" x14ac:dyDescent="0.25">
      <c r="M185" s="2"/>
    </row>
    <row r="186" spans="13:13" x14ac:dyDescent="0.25">
      <c r="M186" s="2"/>
    </row>
    <row r="187" spans="13:13" x14ac:dyDescent="0.25">
      <c r="M187" s="2"/>
    </row>
    <row r="188" spans="13:13" x14ac:dyDescent="0.25">
      <c r="M188" s="2"/>
    </row>
    <row r="189" spans="13:13" x14ac:dyDescent="0.25">
      <c r="M189" s="2"/>
    </row>
    <row r="190" spans="13:13" x14ac:dyDescent="0.25">
      <c r="M190" s="2"/>
    </row>
    <row r="191" spans="13:13" x14ac:dyDescent="0.25">
      <c r="M191" s="2"/>
    </row>
    <row r="192" spans="1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  <row r="218" spans="13:13" x14ac:dyDescent="0.25">
      <c r="M218" s="2"/>
    </row>
    <row r="219" spans="13:13" x14ac:dyDescent="0.25">
      <c r="M219" s="2"/>
    </row>
    <row r="220" spans="13:13" x14ac:dyDescent="0.25">
      <c r="M220" s="2"/>
    </row>
    <row r="221" spans="13:13" x14ac:dyDescent="0.25">
      <c r="M221" s="2"/>
    </row>
    <row r="222" spans="13:13" x14ac:dyDescent="0.25">
      <c r="M222" s="2"/>
    </row>
    <row r="223" spans="13:13" x14ac:dyDescent="0.25">
      <c r="M223" s="2"/>
    </row>
    <row r="224" spans="13:13" x14ac:dyDescent="0.25">
      <c r="M224" s="2"/>
    </row>
    <row r="225" spans="13:13" x14ac:dyDescent="0.25">
      <c r="M225" s="2"/>
    </row>
    <row r="226" spans="13:13" x14ac:dyDescent="0.25">
      <c r="M226" s="2"/>
    </row>
    <row r="227" spans="13:13" x14ac:dyDescent="0.25">
      <c r="M227" s="2"/>
    </row>
    <row r="228" spans="13:13" x14ac:dyDescent="0.25">
      <c r="M228" s="2"/>
    </row>
    <row r="229" spans="13:13" x14ac:dyDescent="0.25">
      <c r="M229" s="2"/>
    </row>
    <row r="230" spans="13:13" x14ac:dyDescent="0.25">
      <c r="M230" s="2"/>
    </row>
    <row r="231" spans="13:13" x14ac:dyDescent="0.25">
      <c r="M231" s="2"/>
    </row>
    <row r="232" spans="13:13" x14ac:dyDescent="0.25">
      <c r="M232" s="2"/>
    </row>
    <row r="233" spans="13:13" x14ac:dyDescent="0.25">
      <c r="M233" s="2"/>
    </row>
    <row r="234" spans="13:13" x14ac:dyDescent="0.25">
      <c r="M234" s="2"/>
    </row>
    <row r="235" spans="13:13" x14ac:dyDescent="0.25">
      <c r="M235" s="2"/>
    </row>
    <row r="236" spans="13:13" x14ac:dyDescent="0.25">
      <c r="M236" s="2"/>
    </row>
    <row r="237" spans="13:13" x14ac:dyDescent="0.25">
      <c r="M237" s="2"/>
    </row>
    <row r="238" spans="13:13" x14ac:dyDescent="0.25">
      <c r="M238" s="2"/>
    </row>
    <row r="239" spans="13:13" x14ac:dyDescent="0.25">
      <c r="M239" s="2"/>
    </row>
    <row r="240" spans="13:13" x14ac:dyDescent="0.25">
      <c r="M240" s="2"/>
    </row>
    <row r="241" spans="13:13" x14ac:dyDescent="0.25">
      <c r="M241" s="2"/>
    </row>
    <row r="242" spans="13:13" x14ac:dyDescent="0.25">
      <c r="M242" s="2"/>
    </row>
    <row r="243" spans="13:13" x14ac:dyDescent="0.25">
      <c r="M243" s="2"/>
    </row>
    <row r="244" spans="13:13" x14ac:dyDescent="0.25">
      <c r="M244" s="2"/>
    </row>
    <row r="245" spans="13:13" x14ac:dyDescent="0.25">
      <c r="M245" s="2"/>
    </row>
    <row r="246" spans="13:13" x14ac:dyDescent="0.25">
      <c r="M246" s="2"/>
    </row>
    <row r="247" spans="13:13" x14ac:dyDescent="0.25">
      <c r="M247" s="2"/>
    </row>
    <row r="248" spans="13:13" x14ac:dyDescent="0.25">
      <c r="M248" s="2"/>
    </row>
    <row r="249" spans="13:13" x14ac:dyDescent="0.25">
      <c r="M249" s="2"/>
    </row>
    <row r="250" spans="13:13" x14ac:dyDescent="0.25">
      <c r="M250" s="2"/>
    </row>
    <row r="251" spans="13:13" x14ac:dyDescent="0.25">
      <c r="M251" s="2"/>
    </row>
    <row r="252" spans="13:13" x14ac:dyDescent="0.25">
      <c r="M252" s="2"/>
    </row>
    <row r="253" spans="13:13" x14ac:dyDescent="0.25">
      <c r="M253" s="2"/>
    </row>
    <row r="254" spans="13:13" x14ac:dyDescent="0.25">
      <c r="M254" s="2"/>
    </row>
  </sheetData>
  <mergeCells count="3">
    <mergeCell ref="E11:I11"/>
    <mergeCell ref="C115:F115"/>
    <mergeCell ref="L51:L52"/>
  </mergeCells>
  <pageMargins left="0.7" right="0.7" top="0.75" bottom="0.75" header="0.3" footer="0.3"/>
  <pageSetup scale="49" orientation="landscape" cellComments="asDisplayed" verticalDpi="1200" r:id="rId1"/>
  <headerFooter>
    <oddHeader>&amp;C&amp;"-,Bold"Attachment 3 to Exhibit 1 
Example Proposed Schedule 33
for SCE Transportation Electrification Filing</oddHeader>
    <oddFooter>&amp;R&amp;"-,Bold"33-Retail Transmission Rates</oddFooter>
  </headerFooter>
  <rowBreaks count="2" manualBreakCount="2">
    <brk id="42" max="16383" man="1"/>
    <brk id="11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TO2019</vt:lpstr>
      <vt:lpstr>'TO2019'!Print_Area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 Tang</dc:creator>
  <cp:keywords/>
  <dc:description/>
  <cp:lastModifiedBy>Napa Tayaivibul</cp:lastModifiedBy>
  <cp:revision/>
  <dcterms:created xsi:type="dcterms:W3CDTF">2018-09-24T18:30:25Z</dcterms:created>
  <dcterms:modified xsi:type="dcterms:W3CDTF">2018-11-20T17:51:26Z</dcterms:modified>
  <cp:category/>
  <cp:contentStatus/>
</cp:coreProperties>
</file>